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192" windowHeight="9216" tabRatio="904" activeTab="20"/>
  </bookViews>
  <sheets>
    <sheet name="DEMİR" sheetId="1" r:id="rId1"/>
    <sheet name="HASIR ÇELİK" sheetId="2" r:id="rId2"/>
    <sheet name="NPI PRF." sheetId="3" r:id="rId3"/>
    <sheet name="U PRF." sheetId="4" r:id="rId4"/>
    <sheet name="L PRF." sheetId="5" r:id="rId5"/>
    <sheet name="KUTU PRF." sheetId="6" r:id="rId6"/>
    <sheet name="ÇELİK LEVHA" sheetId="7" r:id="rId7"/>
    <sheet name="LAMA" sheetId="8" r:id="rId8"/>
    <sheet name="METAL LEVHA GENEL" sheetId="9" r:id="rId9"/>
    <sheet name="LEVHALAR" sheetId="10" r:id="rId10"/>
    <sheet name="PLATİNA" sheetId="11" r:id="rId11"/>
    <sheet name="T PRF." sheetId="12" r:id="rId12"/>
    <sheet name="OMEGA PRF." sheetId="13" r:id="rId13"/>
    <sheet name="BORULAR" sheetId="14" r:id="rId14"/>
    <sheet name="BETON" sheetId="15" r:id="rId15"/>
    <sheet name="NAKLİYE İÇİN YOĞUNLUKLAR" sheetId="16" r:id="rId16"/>
    <sheet name="MLZ. YOĞUNLUK" sheetId="17" r:id="rId17"/>
    <sheet name="YAPI YAKLAŞIK MALİYET" sheetId="18" r:id="rId18"/>
    <sheet name="PRATİK KABULLER" sheetId="19" r:id="rId19"/>
    <sheet name="ÇELİK HASIR-KESİT TABLOSU" sheetId="20" r:id="rId20"/>
    <sheet name="DEMİR KESİT ALANLARI" sheetId="21" r:id="rId21"/>
  </sheets>
  <definedNames>
    <definedName name="_xlnm.Print_Area" localSheetId="14">'BETON'!$B$1:$G$27</definedName>
    <definedName name="_xlnm.Print_Area" localSheetId="13">'BORULAR'!$B$1:$L$15</definedName>
    <definedName name="_xlnm.Print_Area" localSheetId="19">'ÇELİK HASIR-KESİT TABLOSU'!$B$1:$AA$30</definedName>
    <definedName name="_xlnm.Print_Area" localSheetId="6">'ÇELİK LEVHA'!$B$1:$R$35</definedName>
    <definedName name="_xlnm.Print_Area" localSheetId="0">'DEMİR'!$B$1:$F$27</definedName>
    <definedName name="_xlnm.Print_Area" localSheetId="20">'DEMİR KESİT ALANLARI'!$B$1:$M$26</definedName>
    <definedName name="_xlnm.Print_Area" localSheetId="1">'HASIR ÇELİK'!$B$1:$P$81</definedName>
    <definedName name="_xlnm.Print_Area" localSheetId="5">'KUTU PRF.'!$A$1:$AD$54</definedName>
    <definedName name="_xlnm.Print_Area" localSheetId="4">'L PRF.'!$B$1:$K$111</definedName>
    <definedName name="_xlnm.Print_Area" localSheetId="7">'LAMA'!$B$1:$Z$28</definedName>
    <definedName name="_xlnm.Print_Area" localSheetId="9">'LEVHALAR'!$B$1:$R$39</definedName>
    <definedName name="_xlnm.Print_Area" localSheetId="8">'METAL LEVHA GENEL'!$B$1:$I$72</definedName>
    <definedName name="_xlnm.Print_Area" localSheetId="16">'MLZ. YOĞUNLUK'!$B$1:$K$29</definedName>
    <definedName name="_xlnm.Print_Area" localSheetId="15">'NAKLİYE İÇİN YOĞUNLUKLAR'!$B$1:$J$18</definedName>
    <definedName name="_xlnm.Print_Area" localSheetId="2">'NPI PRF.'!$B$1:$J$26</definedName>
    <definedName name="_xlnm.Print_Area" localSheetId="12">'OMEGA PRF.'!$B$1:$H$5</definedName>
    <definedName name="_xlnm.Print_Area" localSheetId="10">'PLATİNA'!$B$1:$J$5</definedName>
    <definedName name="_xlnm.Print_Area" localSheetId="18">'PRATİK KABULLER'!$B$1:$I$30</definedName>
    <definedName name="_xlnm.Print_Area" localSheetId="11">'T PRF.'!$B$1:$H$7</definedName>
    <definedName name="_xlnm.Print_Area" localSheetId="3">'U PRF.'!$B$1:$J$27</definedName>
    <definedName name="_xlnm.Print_Area" localSheetId="17">'YAPI YAKLAŞIK MALİYET'!$B$1:$F$151</definedName>
    <definedName name="_xlnm.Print_Titles" localSheetId="1">'HASIR ÇELİK'!$1:$3</definedName>
    <definedName name="_xlnm.Print_Titles" localSheetId="4">'L PRF.'!$1:$3</definedName>
    <definedName name="Z_C0BE45DA_73C0_4B1E_ABFB_A0FAB57D4E46_.wvu.PrintArea" localSheetId="19" hidden="1">'ÇELİK HASIR-KESİT TABLOSU'!$B$1:$AA$30</definedName>
    <definedName name="Z_C0BE45DA_73C0_4B1E_ABFB_A0FAB57D4E46_.wvu.PrintArea" localSheetId="1" hidden="1">'HASIR ÇELİK'!$B$1:$T$140</definedName>
    <definedName name="Z_C0BE45DA_73C0_4B1E_ABFB_A0FAB57D4E46_.wvu.PrintArea" localSheetId="17" hidden="1">'YAPI YAKLAŞIK MALİYET'!$B$1:$E$151</definedName>
    <definedName name="Z_C0BE45DA_73C0_4B1E_ABFB_A0FAB57D4E46_.wvu.PrintTitles" localSheetId="1" hidden="1">'HASIR ÇELİK'!$1:$3</definedName>
  </definedNames>
  <calcPr fullCalcOnLoad="1"/>
</workbook>
</file>

<file path=xl/comments2.xml><?xml version="1.0" encoding="utf-8"?>
<comments xmlns="http://schemas.openxmlformats.org/spreadsheetml/2006/main">
  <authors>
    <author>ATADEVRİM</author>
  </authors>
  <commentList>
    <comment ref="B1" authorId="0">
      <text>
        <r>
          <rPr>
            <b/>
            <sz val="8"/>
            <rFont val="Tahoma"/>
            <family val="0"/>
          </rPr>
          <t>ATADEVRİM:</t>
        </r>
        <r>
          <rPr>
            <sz val="8"/>
            <rFont val="Tahoma"/>
            <family val="0"/>
          </rPr>
          <t xml:space="preserve">
BOYUTLARI DEĞİŞTİREREK İHTİYACINIZ OLAN ÖLÇÜLERİN YENİ DEĞERLERİNİ GÖRMEK İÇİN, BİR SATIRI EN ALTA KOPYALAYARAK KENDİ DEĞERLERİNİZİ GİRİNİZ.</t>
        </r>
      </text>
    </comment>
  </commentList>
</comments>
</file>

<file path=xl/sharedStrings.xml><?xml version="1.0" encoding="utf-8"?>
<sst xmlns="http://schemas.openxmlformats.org/spreadsheetml/2006/main" count="1080" uniqueCount="751">
  <si>
    <t>G</t>
  </si>
  <si>
    <t>Kg/m</t>
  </si>
  <si>
    <t>F</t>
  </si>
  <si>
    <t>cm2</t>
  </si>
  <si>
    <t>W</t>
  </si>
  <si>
    <t>Cm3</t>
  </si>
  <si>
    <t>Cm2</t>
  </si>
  <si>
    <t>U</t>
  </si>
  <si>
    <t>Cm2/m</t>
  </si>
  <si>
    <t>Yoğunluk ( D )</t>
  </si>
  <si>
    <t>ÇAP (Ø)</t>
  </si>
  <si>
    <t>=D*(π*d²)/4</t>
  </si>
  <si>
    <t>=(π*d²)/4</t>
  </si>
  <si>
    <t>=π*d*100</t>
  </si>
  <si>
    <t>=(π*d³)/4</t>
  </si>
  <si>
    <t>BETONARME ÇELİK ÇUBUKLARIN KESİT DEĞERLERİ</t>
  </si>
  <si>
    <t>NPI</t>
  </si>
  <si>
    <t>b</t>
  </si>
  <si>
    <t>h</t>
  </si>
  <si>
    <t>t</t>
  </si>
  <si>
    <t>r1:s</t>
  </si>
  <si>
    <t>r2</t>
  </si>
  <si>
    <t>mm</t>
  </si>
  <si>
    <t>kg/m</t>
  </si>
  <si>
    <t>m2/m</t>
  </si>
  <si>
    <t>NPI PROFİLLERİ</t>
  </si>
  <si>
    <t>30x15</t>
  </si>
  <si>
    <t>40x20</t>
  </si>
  <si>
    <t>50x25</t>
  </si>
  <si>
    <t>L</t>
  </si>
  <si>
    <t>U PROFİLLERİ</t>
  </si>
  <si>
    <t>L PROFİLLERİ</t>
  </si>
  <si>
    <t>T PROFİLLERİ</t>
  </si>
  <si>
    <t xml:space="preserve">T </t>
  </si>
  <si>
    <t>Ώ</t>
  </si>
  <si>
    <t>s</t>
  </si>
  <si>
    <t>b1</t>
  </si>
  <si>
    <t>46x83</t>
  </si>
  <si>
    <t>OMEGA PROFİLLERİ</t>
  </si>
  <si>
    <t>PLATİNA (GI) PROFİLLERİ</t>
  </si>
  <si>
    <t>GI</t>
  </si>
  <si>
    <t>r1</t>
  </si>
  <si>
    <t>a</t>
  </si>
  <si>
    <t>50 x 40</t>
  </si>
  <si>
    <t>65 x 50</t>
  </si>
  <si>
    <t>80 x 65</t>
  </si>
  <si>
    <t>100 x 75</t>
  </si>
  <si>
    <t>150 x 100</t>
  </si>
  <si>
    <t>Genişlik (h mm)</t>
  </si>
  <si>
    <t>SICAK HADDELENMİŞ ÇELİK LAMALAR (Kalınlık (s) mm) Kg/Mt</t>
  </si>
  <si>
    <t>GENEL AMAÇLAR İÇİN İMAL EDİLMİŞ ÇELİK LEVHALAR (Kalınlık (s) mm) Kg/Mt</t>
  </si>
  <si>
    <t>KALINLIK</t>
  </si>
  <si>
    <t>ALÜMİNYUM</t>
  </si>
  <si>
    <t>BAKIR</t>
  </si>
  <si>
    <t>PİRİNÇ</t>
  </si>
  <si>
    <t>BRONZ</t>
  </si>
  <si>
    <t>ÇİNKO</t>
  </si>
  <si>
    <t>KURŞUN</t>
  </si>
  <si>
    <t>METAL SACLARIN AĞIRLIKLARI (Kg/m2)</t>
  </si>
  <si>
    <t>ÇELİK</t>
  </si>
  <si>
    <t>Ton/m3</t>
  </si>
  <si>
    <t>Yumuşak Toprak</t>
  </si>
  <si>
    <t>Sert Toprak</t>
  </si>
  <si>
    <t>Yumuşak Küskülük</t>
  </si>
  <si>
    <t>Sert Küskülük</t>
  </si>
  <si>
    <t>Yumuşak Kaya</t>
  </si>
  <si>
    <t>Sert Kaya</t>
  </si>
  <si>
    <t>ZEMİN CİNSLERİNİN YOĞUNLUĞU</t>
  </si>
  <si>
    <t>KAZININ ZEMİN CİNSİ</t>
  </si>
  <si>
    <t>FİGÜREDE ÖLÇÜLEN MALZEMELERİN YOĞUNLUKLARI</t>
  </si>
  <si>
    <t>MALZEMENİN CİNSİ</t>
  </si>
  <si>
    <t>Kum,Çakıl,Kırmataş</t>
  </si>
  <si>
    <t>Tuvanen, Stabilize</t>
  </si>
  <si>
    <t>Hafif Agrega</t>
  </si>
  <si>
    <t>Tutanak</t>
  </si>
  <si>
    <t>Tahkimat Moloz Taşı</t>
  </si>
  <si>
    <t>Parke, Kaba Yonu Taşı</t>
  </si>
  <si>
    <t>İnce Yonu Taşı</t>
  </si>
  <si>
    <t>Kesme Taş</t>
  </si>
  <si>
    <t>Kiremit</t>
  </si>
  <si>
    <t>Tuğla</t>
  </si>
  <si>
    <t>Delikli Tuğla</t>
  </si>
  <si>
    <t>Cephe Tuğlası</t>
  </si>
  <si>
    <t>Hafif Gaz Beton</t>
  </si>
  <si>
    <t>Mermer Tozu ve Pirinci</t>
  </si>
  <si>
    <t>Genleşmiş Perlit</t>
  </si>
  <si>
    <t>Ton/1000 ad.</t>
  </si>
  <si>
    <t>İNŞAAT VE İMALATIN BİRİMİNDEKİ MALZEME YOĞUNLUKLARI</t>
  </si>
  <si>
    <t>İNŞAAT VE İMALATIN ADI</t>
  </si>
  <si>
    <t>Kuru Duvar İnşaatta Taş</t>
  </si>
  <si>
    <t>Harçlı Kargir İnşaatta taş</t>
  </si>
  <si>
    <t>Moloz Taşla Kemer İnşaatta Taş</t>
  </si>
  <si>
    <t>Çaplanmış Moloz Taşla Kargir İnşaatta Taş</t>
  </si>
  <si>
    <t>Çaplanmış Moloz Taşla Kemer İnşaatta Taş</t>
  </si>
  <si>
    <t>Kaba ve Özel Kaba Yonu Kargir İnşaatta Taş</t>
  </si>
  <si>
    <t>İnce ve Özel Yonu Kargir İnşaatta Taş</t>
  </si>
  <si>
    <t>Kesme Kargir İnşaatta Taş</t>
  </si>
  <si>
    <t>İstifsiz Taş Dolguda Taş</t>
  </si>
  <si>
    <t>İstifli Taş Dolguda Taş</t>
  </si>
  <si>
    <t>20 cm Harçlı, Harçsız Pere m2 de Taş</t>
  </si>
  <si>
    <t>30 cm Harçlı, Harçsız Pere m2 de Taş</t>
  </si>
  <si>
    <t>40 cm Harçsız Pere m2 de Taş</t>
  </si>
  <si>
    <t>Tuğla İnşaatında Tuğla</t>
  </si>
  <si>
    <t>0.15 m. Kalınlığında Blokaj Taş</t>
  </si>
  <si>
    <t>BAŞLICA MALZEME YOĞUNLUKLARI</t>
  </si>
  <si>
    <t>YOĞUNLUK Kg/dm3</t>
  </si>
  <si>
    <t>Alçı (Toz)</t>
  </si>
  <si>
    <t>1,25-1,60</t>
  </si>
  <si>
    <t>Alkol</t>
  </si>
  <si>
    <t>Alüminyum Plaka</t>
  </si>
  <si>
    <t>2,56-2,75</t>
  </si>
  <si>
    <t>Alüminyum Dökme</t>
  </si>
  <si>
    <t>Alüminyum İşlenmiş</t>
  </si>
  <si>
    <t>Altın</t>
  </si>
  <si>
    <t>Arsenik</t>
  </si>
  <si>
    <t>Asbest</t>
  </si>
  <si>
    <t>Antrasit (Kömür)</t>
  </si>
  <si>
    <t>Antimuan</t>
  </si>
  <si>
    <t>1,106-1,506</t>
  </si>
  <si>
    <t>Asfalt</t>
  </si>
  <si>
    <t>Asfalt-Mayi</t>
  </si>
  <si>
    <t>Ateş Tuğlası</t>
  </si>
  <si>
    <t>1,8-2,2</t>
  </si>
  <si>
    <t>Baryum</t>
  </si>
  <si>
    <t>Barit</t>
  </si>
  <si>
    <t>Bakır (Dökme)</t>
  </si>
  <si>
    <t>Bakır (İşlenmiş)</t>
  </si>
  <si>
    <t>Bazalt (Kesif)</t>
  </si>
  <si>
    <t>Benzen</t>
  </si>
  <si>
    <t>Benzin</t>
  </si>
  <si>
    <t>Beton (Demirli)</t>
  </si>
  <si>
    <t>Beton (Demirsiz)</t>
  </si>
  <si>
    <t>2,25-2,40</t>
  </si>
  <si>
    <t>Bezir Yağı</t>
  </si>
  <si>
    <t>Bronz</t>
  </si>
  <si>
    <t>Boraks</t>
  </si>
  <si>
    <t>Buz</t>
  </si>
  <si>
    <t>Brom</t>
  </si>
  <si>
    <t>Cam (Pencere)</t>
  </si>
  <si>
    <t>Cam Yünü</t>
  </si>
  <si>
    <t>0,1-0,2</t>
  </si>
  <si>
    <t>Cıva</t>
  </si>
  <si>
    <t>Çimento (Torba)</t>
  </si>
  <si>
    <t>Çimento (Toz)</t>
  </si>
  <si>
    <t>Çinko</t>
  </si>
  <si>
    <t>Curuf (Kömür)</t>
  </si>
  <si>
    <t>0,7-0,9</t>
  </si>
  <si>
    <t>Çelik</t>
  </si>
  <si>
    <t>Çelik (Dökme)</t>
  </si>
  <si>
    <t>Demir (Döküm,Font)</t>
  </si>
  <si>
    <t>Demir (İşlenmiş)</t>
  </si>
  <si>
    <t>Deri</t>
  </si>
  <si>
    <t>0,9-1,0</t>
  </si>
  <si>
    <t>Elmas</t>
  </si>
  <si>
    <t>Eter</t>
  </si>
  <si>
    <t>Fosfor</t>
  </si>
  <si>
    <t>Gazyağı</t>
  </si>
  <si>
    <t>Grafit</t>
  </si>
  <si>
    <t>Gliserin</t>
  </si>
  <si>
    <t>Gümüş</t>
  </si>
  <si>
    <t>Kireç (Sönmemiş)</t>
  </si>
  <si>
    <t>Kireç (Sönmüş-Hamur)</t>
  </si>
  <si>
    <t>Karbon</t>
  </si>
  <si>
    <t>Kağıt</t>
  </si>
  <si>
    <t>0,7-1,1</t>
  </si>
  <si>
    <t>Kauçuk</t>
  </si>
  <si>
    <t>Katran</t>
  </si>
  <si>
    <t>Kalay</t>
  </si>
  <si>
    <t>Kalsiyum</t>
  </si>
  <si>
    <t>Kazı (Yumuşak Toprak)</t>
  </si>
  <si>
    <t>Kazı (Sert Toprak)</t>
  </si>
  <si>
    <t>Kazı (Sert Küskülük)</t>
  </si>
  <si>
    <t>Kazı (Yumuşak Küskülük)</t>
  </si>
  <si>
    <t>Çok Sert Kaya</t>
  </si>
  <si>
    <t>Kazı (Yumuşak Kaya)</t>
  </si>
  <si>
    <t>Kazı (Sert Kaya)</t>
  </si>
  <si>
    <t>Kazı (Çok Sert Kaya)</t>
  </si>
  <si>
    <t>Kereste (Ortalama)</t>
  </si>
  <si>
    <t>Kereste (Sert Ağaç)</t>
  </si>
  <si>
    <t>Kereste (Kavak)</t>
  </si>
  <si>
    <t>Kereste (Çam)</t>
  </si>
  <si>
    <t>Kereste (Kayın)</t>
  </si>
  <si>
    <t>Kereste (Meşe)</t>
  </si>
  <si>
    <t>Kereste (Çınar)</t>
  </si>
  <si>
    <t>Kereste (Ladin)</t>
  </si>
  <si>
    <t>Kereste (Karaçam)</t>
  </si>
  <si>
    <t>0,5-0,8</t>
  </si>
  <si>
    <t>0,6-0,9</t>
  </si>
  <si>
    <t>0,7-1,0</t>
  </si>
  <si>
    <t>0,4-0,7</t>
  </si>
  <si>
    <t>Kireç (Parça Halinde)</t>
  </si>
  <si>
    <t>Kil</t>
  </si>
  <si>
    <t>1,8-2,6</t>
  </si>
  <si>
    <t>2,5 kg/ad</t>
  </si>
  <si>
    <t>Kar (Taze)</t>
  </si>
  <si>
    <t>0,1-0,19</t>
  </si>
  <si>
    <t>Kar (Yaş ve Sıkışmış)</t>
  </si>
  <si>
    <t>1,44-2,32</t>
  </si>
  <si>
    <t>Kum, Çakıl (Sıkışmış)</t>
  </si>
  <si>
    <t>Kum, Çakıl (Gevşek)</t>
  </si>
  <si>
    <t>Kum, Çakıl (Normal)</t>
  </si>
  <si>
    <t>Tuvanen-Stabilize</t>
  </si>
  <si>
    <t>Kum Taşı</t>
  </si>
  <si>
    <t>1,9-2,6</t>
  </si>
  <si>
    <t>Kurşun</t>
  </si>
  <si>
    <t>Kok</t>
  </si>
  <si>
    <t>Kloroform</t>
  </si>
  <si>
    <t>Kömür</t>
  </si>
  <si>
    <t>1,2-1,5</t>
  </si>
  <si>
    <t>Mermer</t>
  </si>
  <si>
    <t>2,0-2,8</t>
  </si>
  <si>
    <t>Mermer Pirinci</t>
  </si>
  <si>
    <t>Metil Alkol</t>
  </si>
  <si>
    <t>Mika</t>
  </si>
  <si>
    <t>Muşamba</t>
  </si>
  <si>
    <t>1,1-1,3</t>
  </si>
  <si>
    <t>Makine Yağı</t>
  </si>
  <si>
    <t>Mağnezyum</t>
  </si>
  <si>
    <t>Mağnez Alaşımlı</t>
  </si>
  <si>
    <t>Manganez</t>
  </si>
  <si>
    <t>Mazot</t>
  </si>
  <si>
    <t>Nikel</t>
  </si>
  <si>
    <t>Pirinç (Dökme)</t>
  </si>
  <si>
    <t>8,4-8,7</t>
  </si>
  <si>
    <t>Pirinç (İşlenmiş)</t>
  </si>
  <si>
    <t>8,5-8,6</t>
  </si>
  <si>
    <t>Porselen</t>
  </si>
  <si>
    <t>2,2-2,5</t>
  </si>
  <si>
    <t>Potasyum</t>
  </si>
  <si>
    <t>Platin</t>
  </si>
  <si>
    <t>Parafin</t>
  </si>
  <si>
    <t>Petrol</t>
  </si>
  <si>
    <t>Radyum</t>
  </si>
  <si>
    <t>Reçine Yağı</t>
  </si>
  <si>
    <t>Silisyum</t>
  </si>
  <si>
    <t>Sıva</t>
  </si>
  <si>
    <t>Su</t>
  </si>
  <si>
    <t>Su,Deniz suyu</t>
  </si>
  <si>
    <t>Stabilize-Tuvanen</t>
  </si>
  <si>
    <t>Sülfür Asit</t>
  </si>
  <si>
    <t>Sodyum</t>
  </si>
  <si>
    <t>1,4-1,6 kg/ad</t>
  </si>
  <si>
    <t>Toryum</t>
  </si>
  <si>
    <t>Titan</t>
  </si>
  <si>
    <t>Tuz</t>
  </si>
  <si>
    <t>Uranyum</t>
  </si>
  <si>
    <t>Vanadyum</t>
  </si>
  <si>
    <t>Volfram</t>
  </si>
  <si>
    <t>Yağ</t>
  </si>
  <si>
    <t>Yağ (Disel)</t>
  </si>
  <si>
    <t>Yağ (Kolza)</t>
  </si>
  <si>
    <t>Yağlar</t>
  </si>
  <si>
    <t>Yün</t>
  </si>
  <si>
    <t>Yün,Keçe</t>
  </si>
  <si>
    <t>Yığın Beton</t>
  </si>
  <si>
    <t>Zımpara Tozu</t>
  </si>
  <si>
    <t>Zımpara Taşı</t>
  </si>
  <si>
    <t>Zift</t>
  </si>
  <si>
    <t>İNCE ETLİ KARE VE DİKDÖRTGEN PROFİLLER</t>
  </si>
  <si>
    <t>KALIN ETLİ KARE PROFİLLER</t>
  </si>
  <si>
    <t>a x a</t>
  </si>
  <si>
    <t>20 x 20</t>
  </si>
  <si>
    <t>e</t>
  </si>
  <si>
    <t>30 x 30</t>
  </si>
  <si>
    <t>40 x 40</t>
  </si>
  <si>
    <t>50 x 50</t>
  </si>
  <si>
    <t>60 x 60</t>
  </si>
  <si>
    <t>70 x 70</t>
  </si>
  <si>
    <t>80 x 80</t>
  </si>
  <si>
    <t>90 x 90</t>
  </si>
  <si>
    <t>100 x 100</t>
  </si>
  <si>
    <t>115 x 115</t>
  </si>
  <si>
    <t>120 x 120</t>
  </si>
  <si>
    <t>135 x 135</t>
  </si>
  <si>
    <t>140 x 140</t>
  </si>
  <si>
    <t>150 x 150</t>
  </si>
  <si>
    <t>160 x 160</t>
  </si>
  <si>
    <t>175 x 175</t>
  </si>
  <si>
    <t>180 x 180</t>
  </si>
  <si>
    <t>10 x 10</t>
  </si>
  <si>
    <t>a x b</t>
  </si>
  <si>
    <t>40 x 20</t>
  </si>
  <si>
    <t>KALIN ETLİ DİKDÖRTGEN PROFİLLER</t>
  </si>
  <si>
    <t>50 x 30</t>
  </si>
  <si>
    <t>60 x 40</t>
  </si>
  <si>
    <t>80 x 40</t>
  </si>
  <si>
    <t>90 x 50</t>
  </si>
  <si>
    <t>100 x 60</t>
  </si>
  <si>
    <t>120 x 60</t>
  </si>
  <si>
    <t>120 x 80</t>
  </si>
  <si>
    <t>140 x 90</t>
  </si>
  <si>
    <t>160 x 80</t>
  </si>
  <si>
    <t>180 x 100</t>
  </si>
  <si>
    <t>200 x 100</t>
  </si>
  <si>
    <t>200 x 120</t>
  </si>
  <si>
    <t>220 x 140</t>
  </si>
  <si>
    <t xml:space="preserve">h ve b </t>
  </si>
  <si>
    <t>toleransı</t>
  </si>
  <si>
    <t>F Birim Ağırlık (kg/m)</t>
  </si>
  <si>
    <t>+ - 0,20</t>
  </si>
  <si>
    <t>+ - 0,25</t>
  </si>
  <si>
    <t>+ - 0,30</t>
  </si>
  <si>
    <t>+ - 0,40</t>
  </si>
  <si>
    <t>+ - 0,50</t>
  </si>
  <si>
    <t>+ - 0,75</t>
  </si>
  <si>
    <t>+ - 0,80</t>
  </si>
  <si>
    <t>HASIR</t>
  </si>
  <si>
    <t>HASIR ARALIĞI</t>
  </si>
  <si>
    <t>HASIR ÇAPI</t>
  </si>
  <si>
    <t>HASIR KESİT ALANI</t>
  </si>
  <si>
    <t xml:space="preserve">HASIR BİRİM </t>
  </si>
  <si>
    <t xml:space="preserve">HASIR TABAKA </t>
  </si>
  <si>
    <t xml:space="preserve">BOYDAKİ ÇUBUK </t>
  </si>
  <si>
    <t xml:space="preserve">ENDEKİ ÇUBUK </t>
  </si>
  <si>
    <t>TİPİ</t>
  </si>
  <si>
    <t>AĞIRLIĞI</t>
  </si>
  <si>
    <t>SAYISI</t>
  </si>
  <si>
    <t>R &amp; Q</t>
  </si>
  <si>
    <t>BOY</t>
  </si>
  <si>
    <t>BİNDİRME BOYU</t>
  </si>
  <si>
    <t>EN</t>
  </si>
  <si>
    <t>kg/m2</t>
  </si>
  <si>
    <t>ad</t>
  </si>
  <si>
    <t>SIRA NO</t>
  </si>
  <si>
    <t>Q106/106</t>
  </si>
  <si>
    <t>Q106/131</t>
  </si>
  <si>
    <t>Q106/158</t>
  </si>
  <si>
    <t>Q131/106</t>
  </si>
  <si>
    <t>Q131/131</t>
  </si>
  <si>
    <t>Q131/158</t>
  </si>
  <si>
    <t>Q131/188</t>
  </si>
  <si>
    <t>Q131/221</t>
  </si>
  <si>
    <t>Q131/257</t>
  </si>
  <si>
    <t>Q131/295</t>
  </si>
  <si>
    <t>Q158/106</t>
  </si>
  <si>
    <t>Q158/131</t>
  </si>
  <si>
    <t>Q158/158</t>
  </si>
  <si>
    <t>Q158/188</t>
  </si>
  <si>
    <t>Q158/221</t>
  </si>
  <si>
    <t>Q158/257</t>
  </si>
  <si>
    <t>Q158/295</t>
  </si>
  <si>
    <t>Q188/131</t>
  </si>
  <si>
    <t>Q188/158</t>
  </si>
  <si>
    <t>Q188/188</t>
  </si>
  <si>
    <t>Q188/221</t>
  </si>
  <si>
    <t>Q188/257</t>
  </si>
  <si>
    <t>Q188/295</t>
  </si>
  <si>
    <t>Q221/158</t>
  </si>
  <si>
    <t>Q221/188</t>
  </si>
  <si>
    <t>Q221/221</t>
  </si>
  <si>
    <t>Q221/257</t>
  </si>
  <si>
    <t>Q221/295</t>
  </si>
  <si>
    <t>Q257/131</t>
  </si>
  <si>
    <t>Q257/158</t>
  </si>
  <si>
    <t>Q257/188</t>
  </si>
  <si>
    <t>Q257/221</t>
  </si>
  <si>
    <t>Q257/257</t>
  </si>
  <si>
    <t>Q257/295</t>
  </si>
  <si>
    <t>Q295/131</t>
  </si>
  <si>
    <t>Q295/158</t>
  </si>
  <si>
    <t>Q295/188</t>
  </si>
  <si>
    <t>Q295/221</t>
  </si>
  <si>
    <t>Q295/257</t>
  </si>
  <si>
    <t>Q295/295</t>
  </si>
  <si>
    <t>Q317/131</t>
  </si>
  <si>
    <t>d</t>
  </si>
  <si>
    <t>Q317/158</t>
  </si>
  <si>
    <t>Q317/188</t>
  </si>
  <si>
    <t>Q317/221</t>
  </si>
  <si>
    <t>Q317/257</t>
  </si>
  <si>
    <t>Q317/295</t>
  </si>
  <si>
    <t>Q377/131</t>
  </si>
  <si>
    <t>Q377/158</t>
  </si>
  <si>
    <t>Q377/188</t>
  </si>
  <si>
    <t>Q377/221</t>
  </si>
  <si>
    <t>Q377/257</t>
  </si>
  <si>
    <t>Q377/295</t>
  </si>
  <si>
    <t>Q443/158</t>
  </si>
  <si>
    <t>Q443/188</t>
  </si>
  <si>
    <t>Q443/221</t>
  </si>
  <si>
    <t>Q443/257</t>
  </si>
  <si>
    <t>Q443/295</t>
  </si>
  <si>
    <t>Q513/188</t>
  </si>
  <si>
    <t>Q513/221</t>
  </si>
  <si>
    <t>Q513/257</t>
  </si>
  <si>
    <t>Q513/295</t>
  </si>
  <si>
    <t>Q589/221</t>
  </si>
  <si>
    <t>Q589/257</t>
  </si>
  <si>
    <t>Q589/295</t>
  </si>
  <si>
    <t>R106</t>
  </si>
  <si>
    <t>R131</t>
  </si>
  <si>
    <t>R158</t>
  </si>
  <si>
    <t>R188</t>
  </si>
  <si>
    <t>R221</t>
  </si>
  <si>
    <t>R257</t>
  </si>
  <si>
    <t>R295</t>
  </si>
  <si>
    <t>R317</t>
  </si>
  <si>
    <t>R335</t>
  </si>
  <si>
    <t>R377</t>
  </si>
  <si>
    <t>R443</t>
  </si>
  <si>
    <t>R513</t>
  </si>
  <si>
    <t>R589</t>
  </si>
  <si>
    <t xml:space="preserve">ÇUBUK ARALIĞINA GÖRE </t>
  </si>
  <si>
    <t>DONATI KESİT ALANI (cm2/m)</t>
  </si>
  <si>
    <t>ÇUBUK ARALIKLARI (mm)</t>
  </si>
  <si>
    <t>~ 100d</t>
  </si>
  <si>
    <t>~ 150d</t>
  </si>
  <si>
    <t>ÇUBUK ÇAPI</t>
  </si>
  <si>
    <t xml:space="preserve"> </t>
  </si>
  <si>
    <t>ÇUBUK AĞIRLIĞI</t>
  </si>
  <si>
    <t>ÇUBUK KESİT ALANI</t>
  </si>
  <si>
    <t>Bayındırlık ve İskan Bakanlığından:</t>
  </si>
  <si>
    <t>I. SINIF YAPILAR</t>
  </si>
  <si>
    <t>             • ve bu gruptakilere benzer yapılar.</t>
  </si>
  <si>
    <t>             • Basit padok, büyük ve küçük baş hayvan ağılları</t>
  </si>
  <si>
    <t xml:space="preserve">             • Su depoları                                                                                                                                            </t>
  </si>
  <si>
    <t>             • İş yeri depoları</t>
  </si>
  <si>
    <t>II. SINIF YAPILAR</t>
  </si>
  <si>
    <t>III. SINIF YAPILAR</t>
  </si>
  <si>
    <t>IV. SINIF YAPILAR</t>
  </si>
  <si>
    <t>V. SINIF YAPILAR</t>
  </si>
  <si>
    <t>Yapının Birim Maliyeti</t>
  </si>
  <si>
    <t>YAPININ MİMARLIK HİZMETLERİNE ESAS OLAN SINIFI                                                                     </t>
  </si>
  <si>
    <t xml:space="preserve"> (BM) YTL/m²        </t>
  </si>
  <si>
    <t xml:space="preserve">A GRUBU YAPILAR                                                                                                                                       </t>
  </si>
  <si>
    <t xml:space="preserve">   16/7/1985 tarihli ve 85/9707 sayılı Bakanlar Kurulu Kararı ile yürürlüğe giren "Mimarlık ve Mühendislik Hizmetleri Şartnamesi’nin 3.2 maddesi gereğince mimarlık ve mühendislik hizmet bedellerinin hesabında kullanılacak 2006 yılı Yapı Yaklaşık Birim Maliyetleri, yapının mimarlık hizmetlerine esas olan sınıfı dikkate alınarak inşaat genel giderleri ile yüklenici kârı dahil belirlenerek aşağıda gösterilmiştir.</t>
  </si>
  <si>
    <t>• 3 m yüksekliğe kadar kagir ve betonarme istinat ve bahçe duvarları</t>
  </si>
  <si>
    <t>• Basit kümes ve tarım yapıları</t>
  </si>
  <si>
    <t>• Mevcut yapılar arası bağlantı-geçiş yolları</t>
  </si>
  <si>
    <t>• Baraka veya geçici kullanımı olan küçük yapılar</t>
  </si>
  <si>
    <t>• Yardımcı yapılar (Müştemilat)</t>
  </si>
  <si>
    <t>• Gölgelikler-çardaklar</t>
  </si>
  <si>
    <t>• Üstü kapalı yanları açık teneffüs, oyun gösteri alanları</t>
  </si>
  <si>
    <t>• ve bu gruptakilere benzer yapılar.</t>
  </si>
  <si>
    <t>• Kuleler, ayaklı su depoları</t>
  </si>
  <si>
    <t>• Palplanj ve ankrajlı perde ve istinat duvarları</t>
  </si>
  <si>
    <t>• Kayıkhane</t>
  </si>
  <si>
    <t>• Seralar</t>
  </si>
  <si>
    <t>• Pnömatik ve şişirme yapılar</t>
  </si>
  <si>
    <t>• Hangar yapıları</t>
  </si>
  <si>
    <t>• Tek katlı ofisler, dükkan ve basit atölyeler</t>
  </si>
  <si>
    <t>• Semt sahaları (Müştemilatı)</t>
  </si>
  <si>
    <t>• Tarım ve endüstri yapıları (Tek katlı prefabrike binalar, tesisat ağırlıklı ağıllar, fidan yetiştirme ve bekletme tesisleri)</t>
  </si>
  <si>
    <t>• Yat bakım ve onarım atölyeleri, çekek yerleri</t>
  </si>
  <si>
    <t>• Jeoloji, botanik ve tema parkları</t>
  </si>
  <si>
    <t>• Mezbahalar</t>
  </si>
  <si>
    <t>• Okul ve mahalle spor tesisleri (Temel eğitim okullarının veya işletme ve tesislerin spor salonları, jimnastik salonları, semt salonları)</t>
  </si>
  <si>
    <t>• Katlı garajlar</t>
  </si>
  <si>
    <t xml:space="preserve">• Hobi ve oyun salonları                                                                                                                            </t>
  </si>
  <si>
    <t>• Ticari bürolar (üç kata kadar-üç kat dahil-asansörsüz, kalorifersiz)</t>
  </si>
  <si>
    <t>• Alışveriş merkezleri (semt pazarları, küçük ve büyük hal binaları, marketler. v.b)</t>
  </si>
  <si>
    <t>• Basımevleri, matbaalar</t>
  </si>
  <si>
    <t>• Soğuk hava depoları</t>
  </si>
  <si>
    <t>• Konutlar (dört kata kadar-dört kat dahil- asansörsüz, kalorifersiz)</t>
  </si>
  <si>
    <t>• Benzin istasyonları</t>
  </si>
  <si>
    <t>• Kampingler</t>
  </si>
  <si>
    <t>• Küçük sanayi tesisleri (Donanımlı atölyeler, ticarethane, dükkan, imalathane, dökümhane)</t>
  </si>
  <si>
    <t>• Semt postaneleri</t>
  </si>
  <si>
    <t>• ve bu gruptakilere benzer yapılar</t>
  </si>
  <si>
    <r>
      <t xml:space="preserve">             </t>
    </r>
    <r>
      <rPr>
        <b/>
        <u val="single"/>
        <sz val="8"/>
        <rFont val="Arial"/>
        <family val="2"/>
      </rPr>
      <t>Açıklamalar :</t>
    </r>
  </si>
  <si>
    <t>• Kreş-Gündüz bakımevleri</t>
  </si>
  <si>
    <t>• Otel ve moteller (1 ve 2 yıldızlı oteller, 2. sınıf moteller)</t>
  </si>
  <si>
    <t>• Entegre tarım ve endüstri yapıları</t>
  </si>
  <si>
    <t>• İdari binalar (ilçe tipi hükümet konakları, vergi daireleri)</t>
  </si>
  <si>
    <t>• Gençlik Merkezleri</t>
  </si>
  <si>
    <t>• Belediyeler ve çeşitli amaçlı kamu binaları</t>
  </si>
  <si>
    <t>• Lokanta, kafeterya ve yemekhaneler</t>
  </si>
  <si>
    <t>• Temel eğitim okulları</t>
  </si>
  <si>
    <t>• Küçük kitaplık ve benzeri kültür tesisleri</t>
  </si>
  <si>
    <t>• Jandarma ve emniyet  karakol binaları</t>
  </si>
  <si>
    <t>• Sağlık tesisleri (sağlık ocakları, kamu sağlık dispanserleri, sağlık evleri, sağlık merkezleri)</t>
  </si>
  <si>
    <t>• Ticari bürolar (Kaloriferli ve asansörsüz veya kalorifersiz ve asansörlü)</t>
  </si>
  <si>
    <t>•  Halk evleri</t>
  </si>
  <si>
    <t>• Pansiyonlar</t>
  </si>
  <si>
    <t>• 150 kişiye kadar cezaevleri</t>
  </si>
  <si>
    <t>• Fuarlar</t>
  </si>
  <si>
    <t>• Sergi salonları</t>
  </si>
  <si>
    <t>• Konutlar (asansörlü ve/veya kaloriferli)</t>
  </si>
  <si>
    <t>• Marinalar</t>
  </si>
  <si>
    <t>• Gece kulübü, diskotekler</t>
  </si>
  <si>
    <t>• İtfaiye kurtarma istasyonları</t>
  </si>
  <si>
    <t>• Misafirhaneler</t>
  </si>
  <si>
    <t>• Büyük çiftlik yapıları</t>
  </si>
  <si>
    <t>• Özelliği olan büyük okul yapıları (Spor salonu, konferans salonu ve ek tesisleri olan eğitim yapıları)</t>
  </si>
  <si>
    <t xml:space="preserve">• Poliklinikler ve benzeri sağlık yapıları (Hastaneler hariç) </t>
  </si>
  <si>
    <t>• Liman binaları</t>
  </si>
  <si>
    <t>• İl tipi hükümet konakları (Büyük idare ve Büyükşehir belediye binaları)</t>
  </si>
  <si>
    <t>• Ticari  Bürolar (Asansörlü ve kaloriferli)</t>
  </si>
  <si>
    <t>• 150 kişiyi geçen cezaevleri</t>
  </si>
  <si>
    <t>• Kaplıcalar, şifa evleri v.b termal tesisleri</t>
  </si>
  <si>
    <t>• Rehabilitasyon ve tedavi merkezleri</t>
  </si>
  <si>
    <t>• İbadethaneler (Dini yapılar 1000 kişiye kadar)</t>
  </si>
  <si>
    <t>• Sanayi tesisleri ve fabrikalar (Fen ve sanat yönünden nitelikli)</t>
  </si>
  <si>
    <t>• Aqua parklar</t>
  </si>
  <si>
    <t>• Müstakil spor köyleri (Yüzme havuzları, spor salonları ve stadlar)</t>
  </si>
  <si>
    <t>• Özellikli müstakil konutlar (villalar, teras evleri, dağ evleri, kaymakam evi)</t>
  </si>
  <si>
    <t>• Yaşlılar Huzurevi, kimsesiz çocuk yuvaları, yetiştirme yurtları</t>
  </si>
  <si>
    <t>• Büyük alışveriş merkezleri</t>
  </si>
  <si>
    <t>• İş Merkezleri</t>
  </si>
  <si>
    <t>• Araştırma binaları ve laboratuarlar</t>
  </si>
  <si>
    <t>• Metro istasyonları</t>
  </si>
  <si>
    <t>• Stadyum, spor salonları ve yüzme havuzları</t>
  </si>
  <si>
    <t>• Büyük postaneler (merkez postaneleri)</t>
  </si>
  <si>
    <t>• Otobüs terminalleri</t>
  </si>
  <si>
    <t>• Satış ve sergi binaları (showroomlar)</t>
  </si>
  <si>
    <t>• Eğlence amaçlı yapılar (çok amaçlı toplantı, eğlence ve düğün salonları)</t>
  </si>
  <si>
    <t>• Banka binaları</t>
  </si>
  <si>
    <t>• Otel ve moteller (3 ve 4 yıldızlı oteller ile 1. sınıf moteller)</t>
  </si>
  <si>
    <t>• Normal radyo ve televizyon binaları</t>
  </si>
  <si>
    <t>• Özelliği olan genel sığınaklar</t>
  </si>
  <si>
    <t>• Hastaneler (150 yatağa kadar)</t>
  </si>
  <si>
    <t>• Büyük kütüphaneler ve kültür yapıları</t>
  </si>
  <si>
    <t>• Bakanlık binaları</t>
  </si>
  <si>
    <t>• Yüksek öğrenim yurtları</t>
  </si>
  <si>
    <t>• Arşiv  binaları</t>
  </si>
  <si>
    <t>• Büyük Adliye Sarayları</t>
  </si>
  <si>
    <t>• Radyo-Tv İstasyonları</t>
  </si>
  <si>
    <t>• Özelliği olan askeri yapılar ve orduevi</t>
  </si>
  <si>
    <t>• Büyükelçilik yapıları, vali konakları ve 600 m² üzerindeki özel konutlar</t>
  </si>
  <si>
    <t>• Borsa binaları</t>
  </si>
  <si>
    <t>• Üniversite kampüsleri</t>
  </si>
  <si>
    <t xml:space="preserve">• Alışveriş kompleksleri (İçerisinde sinema, tiyatro, sergi salonu, kafe, restoran, market, v.b. bulunan) </t>
  </si>
  <si>
    <t>• Kongre merkezleri</t>
  </si>
  <si>
    <t>• Müze, sergi kütüphane kompleksleri</t>
  </si>
  <si>
    <t>• Olimpik spor tesisleri-hipodromlar</t>
  </si>
  <si>
    <t>• Bilimsel araştırma merkezleri, AR-GE binaları</t>
  </si>
  <si>
    <t>• Havaalanları</t>
  </si>
  <si>
    <t>• İbadethaneler  (1000 kişinin üzerinde)</t>
  </si>
  <si>
    <t>• Hastaneler  (150 yatağın üstündeki hastaneler ve özelliği olan ihtisas hastaneleri)</t>
  </si>
  <si>
    <t>• Üst donanımlı kompleks oteller ve tatil köyleri  (5 yıldızlı)</t>
  </si>
  <si>
    <t>• Büyük radyo ve televizyon binaları</t>
  </si>
  <si>
    <t>• Opera, tiyatro bale yapıları, konser salonları ve kompleksleri</t>
  </si>
  <si>
    <t>• Restore edilecek yapılar ve tarihi ve eski eserler niteliğinde olup. Yıkılarak orijinaline uygun olarak yapılan yapılar</t>
  </si>
  <si>
    <t>1) Benzer yapılar, ilgili gruptaki yapılara kıyasen uygulayıcı kurum ve kuruluşlarca  belirlenecektir.</t>
  </si>
  <si>
    <t>2) Tebliğin revizyonu çalışmalarında sınıfı veya grubu değiştiren ve tebliğden çıkarılan yapılar için, 2006 yılından önceki tebliğlere göre yapı sınıfı ve grubu belirlenerek  başlatılmış ve devam eden işlerde, söz konusu tebliğlerdeki yapı sınıfı ve grubu değiştirilmeksizin 2006 yılı tebliğinde karşılığı olan tutar esas alınmak suretiyle hesap yapılacaktır.</t>
  </si>
  <si>
    <r>
      <t>B GRUBU YAPILAR</t>
    </r>
    <r>
      <rPr>
        <sz val="8"/>
        <rFont val="Arial"/>
        <family val="2"/>
      </rPr>
      <t>                                             </t>
    </r>
  </si>
  <si>
    <t>A GRUBU YAPILAR                                              </t>
  </si>
  <si>
    <t>B GRUBU YAPILAR                </t>
  </si>
  <si>
    <t>A  GRUBU YAPILAR                    </t>
  </si>
  <si>
    <t>B GRUBU YAPILAR                                                                         </t>
  </si>
  <si>
    <t>A  GRUBU YAPILAR                                                               </t>
  </si>
  <si>
    <t>B GRUBU YAPILAR                                                                    </t>
  </si>
  <si>
    <t>C GRUBU YAPILAR                                                                                                           </t>
  </si>
  <si>
    <t>A GRUBU YAPILAR                                                          </t>
  </si>
  <si>
    <t>B GRUBU YAPILAR                                                                 </t>
  </si>
  <si>
    <t>C GRUBU YAPILAR                                                                           </t>
  </si>
  <si>
    <t>D GRUBU YAPILAR                                                                          </t>
  </si>
  <si>
    <t>ÇİNKO LEVHALARIN BİRİM AĞIRLIKLARI</t>
  </si>
  <si>
    <t>No</t>
  </si>
  <si>
    <t xml:space="preserve">Kalınlık </t>
  </si>
  <si>
    <t>mm / m</t>
  </si>
  <si>
    <t xml:space="preserve">Ağırlık </t>
  </si>
  <si>
    <t>BAKIR LEVHALARIN BİRİM AĞIRLIKLARI</t>
  </si>
  <si>
    <t>KURŞUN LEVHALARIN BİRİM AĞIRLIKLARI</t>
  </si>
  <si>
    <t>TRAPEZOİDAL KESİTLİ ALÜMİNYUM LEVHALAR</t>
  </si>
  <si>
    <t>DÜZ ALÜMİNYUM LEVHALAR</t>
  </si>
  <si>
    <t>POLİÜRETAN DOLGULU DÜZ ALÜMİNYUM LEVHALAR</t>
  </si>
  <si>
    <t>POLİÜRETAN DOLGULU TRAPEZOİDAL ALÜMİNYUM LEVHALAR</t>
  </si>
  <si>
    <t>GALVANİZLİ (D.K.P.) SACLARIN BİRİM AĞIRLIKLARI</t>
  </si>
  <si>
    <t xml:space="preserve">mm </t>
  </si>
  <si>
    <t>YAĞMUR BORULARI İÇİN ÇİNKO PARÇA KESME TABLOSU</t>
  </si>
  <si>
    <t>200~300</t>
  </si>
  <si>
    <t>150~200</t>
  </si>
  <si>
    <t>100~150</t>
  </si>
  <si>
    <t>75~100</t>
  </si>
  <si>
    <t>50~75</t>
  </si>
  <si>
    <t>25~50</t>
  </si>
  <si>
    <t>10~12</t>
  </si>
  <si>
    <t>YAĞMUR OLUKLARI İÇİN ÇİNKO PARÇA KESME TABLOSU</t>
  </si>
  <si>
    <t>Oluk Kesiti Aanı</t>
  </si>
  <si>
    <t>m2</t>
  </si>
  <si>
    <t>Boru Kesiti Çapı</t>
  </si>
  <si>
    <t>Standart Ölçüdeki Levhadan Kesilecek Çinko Parçası</t>
  </si>
  <si>
    <t>Kullanılacak Çinko</t>
  </si>
  <si>
    <t>Oluk Çapı</t>
  </si>
  <si>
    <t>Parça adedi</t>
  </si>
  <si>
    <t>Oluğa İsabet Eden Çatı Sahası Yatay İzdüşümü (m2)</t>
  </si>
  <si>
    <t>Boruya İsabet Eden Çatı Sahası Yatay İzdüşümü</t>
  </si>
  <si>
    <t>ÇUBUK SAYISI</t>
  </si>
  <si>
    <t xml:space="preserve">BETONARME ÇELİK ÇUBUKLARIN Fe (Cm2) KESİT ALANLARI </t>
  </si>
  <si>
    <t>KRİŞLERİN (b0) GENİŞLİĞİ (cm) VE (Fe) DONATISI (Cm2)</t>
  </si>
  <si>
    <t>TAŞIYICI ÇUBUK ÇAPI</t>
  </si>
  <si>
    <t>b0</t>
  </si>
  <si>
    <t>Fe</t>
  </si>
  <si>
    <t xml:space="preserve">ÇUBUK ARALIĞI </t>
  </si>
  <si>
    <t>(cm) (t)</t>
  </si>
  <si>
    <t>(mm) OLARAK ÇUBUK ÇAPI</t>
  </si>
  <si>
    <t>100 cm GENİŞLİĞİ İÇİN DÖŞEME DONATISININ KESİT ALANLARI fe (cm2 / mt)</t>
  </si>
  <si>
    <t>Fe= 100 x f / t</t>
  </si>
  <si>
    <t>(f= Bir çubuğun kesit alanı, t= çubukların eşit aralığı)</t>
  </si>
  <si>
    <t>(mt de)</t>
  </si>
  <si>
    <t>BİR İLE ONDÖRT ETRİYE İÇİN ÇİFT TESİRLİ (Fe) DEĞERLERİ</t>
  </si>
  <si>
    <t>ÇAP</t>
  </si>
  <si>
    <t>ETRİYE SAYISI</t>
  </si>
  <si>
    <t>PİLYE SAYISI (Kesmeye karşı 45 derece eğik çubuk adedi)</t>
  </si>
  <si>
    <t>BİR İLE ONDÖRT PİLYE İÇİN Fs=KÖK(2)xFe DEĞERLERİ</t>
  </si>
  <si>
    <t>NOT: 60 Derece eğik çubuklar için yukarıdaki miktarlar 0,966 ile çarpılacaktır.</t>
  </si>
  <si>
    <t>KİRİŞLERDE KABUL EDİLEBİLECEK PİLYE (EĞİK-KIRIM) BOYLARI</t>
  </si>
  <si>
    <t>cm</t>
  </si>
  <si>
    <t>DERECE</t>
  </si>
  <si>
    <t>-</t>
  </si>
  <si>
    <t>KABUL EDİLEBİLECEK KANCA BOYLARI</t>
  </si>
  <si>
    <t>KANCA BOYU</t>
  </si>
  <si>
    <t>SU VE GAZ BORULARI</t>
  </si>
  <si>
    <t>(GALVANİZLİ - SİYAH)</t>
  </si>
  <si>
    <t>ANMA ÇAPI</t>
  </si>
  <si>
    <t>1 / 2"</t>
  </si>
  <si>
    <t>3 / 4"</t>
  </si>
  <si>
    <t>1"</t>
  </si>
  <si>
    <t>1.1 / 4"</t>
  </si>
  <si>
    <t>1.1 / 2"</t>
  </si>
  <si>
    <t>2"</t>
  </si>
  <si>
    <t>2.1 / 2"</t>
  </si>
  <si>
    <t>3"</t>
  </si>
  <si>
    <t>4"</t>
  </si>
  <si>
    <t>5"</t>
  </si>
  <si>
    <t>6"</t>
  </si>
  <si>
    <t>İnç.</t>
  </si>
  <si>
    <t>DIŞ ÇAP</t>
  </si>
  <si>
    <t>Min.</t>
  </si>
  <si>
    <t>Max.</t>
  </si>
  <si>
    <t>Opt.</t>
  </si>
  <si>
    <t>ET KALINLIĞI</t>
  </si>
  <si>
    <t>AĞIRLIK (Kg / m )</t>
  </si>
  <si>
    <t>Dişsiz Manşonsuz</t>
  </si>
  <si>
    <t>Siyah</t>
  </si>
  <si>
    <t>Galvanizli</t>
  </si>
  <si>
    <t xml:space="preserve">PORTLAND ÇİMENTOSU </t>
  </si>
  <si>
    <t xml:space="preserve">KATKILI PORTLAND ÇİMENTOSU </t>
  </si>
  <si>
    <t xml:space="preserve">DEMİR PORTLAND ÇİMENTOSU </t>
  </si>
  <si>
    <t xml:space="preserve">CURUF ÇİMENTOSU </t>
  </si>
  <si>
    <t xml:space="preserve">TRASLI ÇİMENTOSU </t>
  </si>
  <si>
    <t>ÇİMENTO YOĞUNLUĞU (Kg / dm3)</t>
  </si>
  <si>
    <t>AGREGA YOĞUNLUĞU (Kg / dm3)</t>
  </si>
  <si>
    <t>KUVARS KUMU (0-4 mm)</t>
  </si>
  <si>
    <t>YOĞUN KALKER KUMU (0-4 mm)</t>
  </si>
  <si>
    <t>GRANİT (&gt;4 mm)</t>
  </si>
  <si>
    <t>GNAYS (&gt;4 mm)</t>
  </si>
  <si>
    <t>KALKER (&gt;4 mm)</t>
  </si>
  <si>
    <t>PORFİL,DİYABAZ (&gt;4 mm)</t>
  </si>
  <si>
    <t>DİORİT (&gt;4 mm)</t>
  </si>
  <si>
    <t>BOYUT</t>
  </si>
  <si>
    <t>( cm )</t>
  </si>
  <si>
    <t>( mm )</t>
  </si>
  <si>
    <t>( cm2 / m )</t>
  </si>
  <si>
    <t>ÇİFT ÇUBUK</t>
  </si>
  <si>
    <t>kg / m2</t>
  </si>
  <si>
    <t>kg / ad</t>
  </si>
  <si>
    <t>STANDART ÇELİK HASIR TABLOSU (Q ve R TİPİ)</t>
  </si>
  <si>
    <t>Q221/158-a</t>
  </si>
  <si>
    <t>Q221/158-b</t>
  </si>
  <si>
    <t>Q221/158-c</t>
  </si>
  <si>
    <t>Q221/158-d</t>
  </si>
  <si>
    <t>NAKLİYE HESABINDA KULLANILMAK ÜZERE</t>
  </si>
  <si>
    <t>MİMARLIK VE MÜHENDİSLİK HİZMET BEDELLERİNİN HESABINDA KULLANILACAK 2004-2005-2006-2007 YILI YAPI</t>
  </si>
  <si>
    <t>İMALATIN CİNSİ</t>
  </si>
  <si>
    <t>YIĞMA</t>
  </si>
  <si>
    <t>BETONARME KARKAS</t>
  </si>
  <si>
    <t>BETONARME BETONU</t>
  </si>
  <si>
    <t>0,250 m3 / m2</t>
  </si>
  <si>
    <t>BETONARME DEMİRİ</t>
  </si>
  <si>
    <t>22 kg / m2</t>
  </si>
  <si>
    <t>34 kg / m2</t>
  </si>
  <si>
    <t>BETONARME KALIP</t>
  </si>
  <si>
    <t>1,75 m2 / m2</t>
  </si>
  <si>
    <t>KALIP İSKELESİ</t>
  </si>
  <si>
    <t>1,90 m3 / m2</t>
  </si>
  <si>
    <t>2,80 m3 / m2</t>
  </si>
  <si>
    <t>2,6 m2 / m2</t>
  </si>
  <si>
    <t>İŞ İSKELESİ</t>
  </si>
  <si>
    <t>1,43 m2 / m2</t>
  </si>
  <si>
    <t>TUĞLA DUVAR</t>
  </si>
  <si>
    <t>0,200 m3 / m2</t>
  </si>
  <si>
    <t>0,150 m3 / m2</t>
  </si>
  <si>
    <t>İÇ SIVA</t>
  </si>
  <si>
    <t>2,40 m2 / m2</t>
  </si>
  <si>
    <t>DIŞ SIVA</t>
  </si>
  <si>
    <t>1,30 m2 / m2</t>
  </si>
  <si>
    <t>TAVAN SIVASI</t>
  </si>
  <si>
    <t>0,90 m2 / m2</t>
  </si>
  <si>
    <t>BADANA (İÇ)</t>
  </si>
  <si>
    <t>3,00 m2 / m2</t>
  </si>
  <si>
    <t>FAYANS-SERAMİK</t>
  </si>
  <si>
    <t>0,30 m2 / m2</t>
  </si>
  <si>
    <t>AHŞAP YAPI-KARKAS</t>
  </si>
  <si>
    <t>0,15 m2 / m2</t>
  </si>
  <si>
    <t>AHŞAP PENCERE</t>
  </si>
  <si>
    <t>0,12 m2 / m2</t>
  </si>
  <si>
    <t>YAĞLI BOYA</t>
  </si>
  <si>
    <t>0,42 m2 / m2</t>
  </si>
  <si>
    <t>TEK KAT</t>
  </si>
  <si>
    <t>İKİ KAT</t>
  </si>
  <si>
    <t>ÜÇ KAT</t>
  </si>
  <si>
    <t>DÖRT KAT</t>
  </si>
  <si>
    <t>BEŞ KAT</t>
  </si>
  <si>
    <t>1,25 m2 / m2</t>
  </si>
  <si>
    <t>0,63 m2 / m2</t>
  </si>
  <si>
    <t>0,33 m2 / m2</t>
  </si>
  <si>
    <t>0,25 m2 / m2</t>
  </si>
  <si>
    <t>AHŞAP ÇATI,KİREMİT (TOPLAM İNŞ. ALANI ÜZERİNDEN)</t>
  </si>
  <si>
    <t>METAL ÖRTÜ (TOPLAM İNŞ. ALANI ÜZERİNDEN)</t>
  </si>
  <si>
    <t>1,33 m2 / m2</t>
  </si>
  <si>
    <t>0,67 m2 / m2</t>
  </si>
  <si>
    <t>0,44 m2 / m2</t>
  </si>
  <si>
    <t>0,34 m2 / m2</t>
  </si>
  <si>
    <t>0,27 m2 / m2</t>
  </si>
  <si>
    <t>MOZAİK DÖŞEME KAP.</t>
  </si>
  <si>
    <t>CAM</t>
  </si>
  <si>
    <t>0,10 m2 / m2</t>
  </si>
  <si>
    <t xml:space="preserve">SIRA </t>
  </si>
  <si>
    <t>YAPI BİRİM ALANINA İSABET EDEN YAKLAŞIK METRAJ BİRİM ÖLÇÜLERİ</t>
  </si>
  <si>
    <t>METRAJLAR ARASINDA PRATİK KABULLER</t>
  </si>
  <si>
    <t xml:space="preserve">TESVİYE TABAKASI ALANI </t>
  </si>
  <si>
    <t>=</t>
  </si>
  <si>
    <t>DÖŞEME KAPLAMASI ALANI</t>
  </si>
  <si>
    <t>BLOKAJ ALANI</t>
  </si>
  <si>
    <t xml:space="preserve">GRO BETON ALANI </t>
  </si>
  <si>
    <t>KİREMİT ALANI</t>
  </si>
  <si>
    <t>AHŞAP ÇATI ALANI</t>
  </si>
  <si>
    <t>ÇATI YALITIM ALANI</t>
  </si>
  <si>
    <t>TAVAN KİREÇ BADANA</t>
  </si>
  <si>
    <t>BADANA ALANI</t>
  </si>
  <si>
    <t>İÇ SIVA ALANI</t>
  </si>
  <si>
    <t>PENCERE YAPLI BOYA ALANI</t>
  </si>
  <si>
    <t>PENCERE DOĞRAMA ALANI</t>
  </si>
  <si>
    <t>1m3 BETON</t>
  </si>
  <si>
    <t>7-8 m2 KALIP</t>
  </si>
  <si>
    <t>DEMİRLİ BETON HACMİ</t>
  </si>
  <si>
    <t>70-90 Kg DEMİR</t>
  </si>
  <si>
    <t>%75-80 CAM ALANI</t>
  </si>
  <si>
    <t>KAPI KANAT ALANI</t>
  </si>
  <si>
    <t>%25 BUZLU CAM ALANI</t>
  </si>
  <si>
    <t>TÜM DEMİRİN</t>
  </si>
  <si>
    <t>%40-45 İNCE DEMİR</t>
  </si>
  <si>
    <t>%55-60 KALIN DEMİR</t>
  </si>
  <si>
    <t>TSE 500 'E GÖRE BETON SINIFLARI</t>
  </si>
  <si>
    <t>BS 16 (C16)</t>
  </si>
  <si>
    <t>BS 18 (C18)</t>
  </si>
  <si>
    <t>BS 20 (C20)</t>
  </si>
  <si>
    <t>BS 25 (C25)</t>
  </si>
  <si>
    <t>BS 30 (C30)</t>
  </si>
  <si>
    <t>BS 35 (C35)</t>
  </si>
  <si>
    <t>BS 40 (C40)</t>
  </si>
  <si>
    <t>BS 45 (C45)</t>
  </si>
  <si>
    <t>BS 50 (C50)</t>
  </si>
  <si>
    <t>BETON SINIFI</t>
  </si>
  <si>
    <r>
      <t xml:space="preserve">Silindir Basınç Dayanımı D=15 cm h=30 cm 28 Günlük 20 derece Suda </t>
    </r>
    <r>
      <rPr>
        <b/>
        <sz val="12"/>
        <rFont val="Arial Tur"/>
        <family val="0"/>
      </rPr>
      <t>f</t>
    </r>
    <r>
      <rPr>
        <b/>
        <sz val="7"/>
        <rFont val="Arial Tur"/>
        <family val="0"/>
      </rPr>
      <t>ck</t>
    </r>
    <r>
      <rPr>
        <b/>
        <sz val="10"/>
        <rFont val="Arial Tur"/>
        <family val="0"/>
      </rPr>
      <t xml:space="preserve"> N/mm2</t>
    </r>
  </si>
  <si>
    <r>
      <t xml:space="preserve">Eşdeğer Küp Basınç Dayanımı (15x15x15 cm) </t>
    </r>
    <r>
      <rPr>
        <b/>
        <sz val="12"/>
        <rFont val="Arial Tur"/>
        <family val="0"/>
      </rPr>
      <t>f</t>
    </r>
    <r>
      <rPr>
        <b/>
        <sz val="7"/>
        <rFont val="Arial Tur"/>
        <family val="0"/>
      </rPr>
      <t>ck</t>
    </r>
    <r>
      <rPr>
        <b/>
        <sz val="10"/>
        <rFont val="Arial Tur"/>
        <family val="0"/>
      </rPr>
      <t xml:space="preserve"> N/mm2</t>
    </r>
  </si>
  <si>
    <r>
      <t xml:space="preserve">Karakteristik Eksenel Çekme Dayanımı </t>
    </r>
    <r>
      <rPr>
        <b/>
        <sz val="12"/>
        <rFont val="Arial Tur"/>
        <family val="0"/>
      </rPr>
      <t>f</t>
    </r>
    <r>
      <rPr>
        <b/>
        <sz val="7"/>
        <rFont val="Arial Tur"/>
        <family val="0"/>
      </rPr>
      <t>ctk</t>
    </r>
  </si>
  <si>
    <r>
      <t>28 Günlük Elastisite Modülü E</t>
    </r>
    <r>
      <rPr>
        <b/>
        <sz val="7"/>
        <rFont val="Arial Tur"/>
        <family val="0"/>
      </rPr>
      <t>c</t>
    </r>
    <r>
      <rPr>
        <b/>
        <sz val="10"/>
        <rFont val="Arial Tur"/>
        <family val="0"/>
      </rPr>
      <t xml:space="preserve"> </t>
    </r>
  </si>
  <si>
    <t>0,380 m3 / m2</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</si>
</sst>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
    <numFmt numFmtId="173" formatCode="#,##0.000&quot;Kg/dm3&quot;"/>
    <numFmt numFmtId="174" formatCode="#,##0.000\ &quot;Kg/dm3&quot;"/>
    <numFmt numFmtId="175" formatCode="0.000"/>
    <numFmt numFmtId="176" formatCode="#,##0.0"/>
    <numFmt numFmtId="177" formatCode="#,###\ \x"/>
    <numFmt numFmtId="178" formatCode="0.0"/>
    <numFmt numFmtId="179" formatCode="&quot;  Pafta No :  S - &quot;0"/>
    <numFmt numFmtId="180" formatCode="#,###.00&quot; m² &quot;"/>
    <numFmt numFmtId="181" formatCode="#,###.00&quot; mt &quot;"/>
    <numFmt numFmtId="182" formatCode="&quot;P- &quot;0"/>
    <numFmt numFmtId="183" formatCode="#,###.00&quot; kg &quot;"/>
    <numFmt numFmtId="184" formatCode="#,##0&quot; kg &quot;"/>
    <numFmt numFmtId="185" formatCode="&quot;Ø &quot;0"/>
    <numFmt numFmtId="186" formatCode="0.0&quot; mt &quot;"/>
    <numFmt numFmtId="187" formatCode="0.00&quot; mt &quot;"/>
    <numFmt numFmtId="188" formatCode="0.0&quot; kg &quot;"/>
    <numFmt numFmtId="189" formatCode="&quot;Evet&quot;;&quot;Evet&quot;;&quot;Hayır&quot;"/>
    <numFmt numFmtId="190" formatCode="&quot;Doğru&quot;;&quot;Doğru&quot;;&quot;Yanlış&quot;"/>
    <numFmt numFmtId="191" formatCode="&quot;Açık&quot;;&quot;Açık&quot;;&quot;Kapalı&quot;"/>
    <numFmt numFmtId="192" formatCode="0.0000"/>
  </numFmts>
  <fonts count="56">
    <font>
      <sz val="10"/>
      <name val="Arial Tur"/>
      <family val="0"/>
    </font>
    <font>
      <sz val="8"/>
      <name val="Arial Tur"/>
      <family val="0"/>
    </font>
    <font>
      <sz val="12"/>
      <color indexed="12"/>
      <name val="Arial Tur"/>
      <family val="0"/>
    </font>
    <font>
      <b/>
      <sz val="10"/>
      <name val="Arial Tur"/>
      <family val="0"/>
    </font>
    <font>
      <sz val="10"/>
      <name val="MS Sans Serif"/>
      <family val="0"/>
    </font>
    <font>
      <sz val="10"/>
      <color indexed="10"/>
      <name val="Arial Tur"/>
      <family val="0"/>
    </font>
    <font>
      <b/>
      <sz val="9"/>
      <name val="Arial"/>
      <family val="2"/>
    </font>
    <font>
      <u val="single"/>
      <sz val="10"/>
      <name val="Arial Tur"/>
      <family val="0"/>
    </font>
    <font>
      <sz val="8"/>
      <name val="Arial Narrow"/>
      <family val="2"/>
    </font>
    <font>
      <sz val="6"/>
      <name val="Arial Narrow"/>
      <family val="2"/>
    </font>
    <font>
      <sz val="9"/>
      <name val="Arial Tur"/>
      <family val="0"/>
    </font>
    <font>
      <b/>
      <sz val="9"/>
      <name val="Arial Tur"/>
      <family val="0"/>
    </font>
    <font>
      <b/>
      <sz val="8"/>
      <name val="Arial"/>
      <family val="2"/>
    </font>
    <font>
      <sz val="8"/>
      <name val="Arial"/>
      <family val="2"/>
    </font>
    <font>
      <b/>
      <u val="single"/>
      <sz val="8"/>
      <name val="Arial"/>
      <family val="2"/>
    </font>
    <font>
      <b/>
      <sz val="8"/>
      <name val="Arial Tur"/>
      <family val="0"/>
    </font>
    <font>
      <b/>
      <sz val="10"/>
      <name val="Arial Narrow"/>
      <family val="2"/>
    </font>
    <font>
      <sz val="8"/>
      <name val="Tahoma"/>
      <family val="0"/>
    </font>
    <font>
      <b/>
      <sz val="8"/>
      <name val="Tahoma"/>
      <family val="0"/>
    </font>
    <font>
      <b/>
      <sz val="10"/>
      <name val="Arial"/>
      <family val="2"/>
    </font>
    <font>
      <b/>
      <sz val="12"/>
      <name val="Arial Tur"/>
      <family val="0"/>
    </font>
    <font>
      <b/>
      <sz val="7"/>
      <name val="Arial Tu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15"/>
        <bgColor indexed="64"/>
      </patternFill>
    </fill>
    <fill>
      <patternFill patternType="solid">
        <fgColor indexed="9"/>
        <bgColor indexed="64"/>
      </patternFill>
    </fill>
  </fills>
  <borders count="9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color indexed="63"/>
      </bottom>
    </border>
    <border>
      <left style="thin"/>
      <right style="double"/>
      <top style="thin"/>
      <bottom>
        <color indexed="63"/>
      </bottom>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double"/>
    </border>
    <border>
      <left style="thin"/>
      <right style="double"/>
      <top>
        <color indexed="63"/>
      </top>
      <bottom style="thin"/>
    </border>
    <border>
      <left style="thin"/>
      <right style="double"/>
      <top>
        <color indexed="63"/>
      </top>
      <bottom style="double"/>
    </border>
    <border>
      <left style="double"/>
      <right style="thin"/>
      <top style="double"/>
      <bottom style="thin"/>
    </border>
    <border>
      <left style="double"/>
      <right style="thin"/>
      <top>
        <color indexed="63"/>
      </top>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color indexed="63"/>
      </left>
      <right>
        <color indexed="63"/>
      </right>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double"/>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double"/>
      <bottom>
        <color indexed="63"/>
      </bottom>
    </border>
    <border>
      <left style="double"/>
      <right style="hair"/>
      <top style="double"/>
      <bottom>
        <color indexed="63"/>
      </bottom>
    </border>
    <border>
      <left style="hair"/>
      <right style="double"/>
      <top style="double"/>
      <bottom>
        <color indexed="63"/>
      </bottom>
    </border>
    <border>
      <left style="double"/>
      <right style="hair"/>
      <top>
        <color indexed="63"/>
      </top>
      <bottom style="hair"/>
    </border>
    <border>
      <left>
        <color indexed="63"/>
      </left>
      <right>
        <color indexed="63"/>
      </right>
      <top>
        <color indexed="63"/>
      </top>
      <bottom style="hair"/>
    </border>
    <border>
      <left style="hair"/>
      <right style="double"/>
      <top>
        <color indexed="63"/>
      </top>
      <bottom style="hair"/>
    </border>
    <border>
      <left style="double"/>
      <right style="hair"/>
      <top style="hair"/>
      <bottom style="hair"/>
    </border>
    <border>
      <left style="hair"/>
      <right style="double"/>
      <top style="hair"/>
      <bottom style="hair"/>
    </border>
    <border>
      <left>
        <color indexed="63"/>
      </left>
      <right style="hair"/>
      <top style="hair"/>
      <bottom style="hair"/>
    </border>
    <border>
      <left style="hair"/>
      <right>
        <color indexed="63"/>
      </right>
      <top style="hair"/>
      <bottom style="hair"/>
    </border>
    <border>
      <left style="double"/>
      <right style="double"/>
      <top>
        <color indexed="63"/>
      </top>
      <bottom>
        <color indexed="63"/>
      </bottom>
    </border>
    <border>
      <left style="double"/>
      <right style="hair"/>
      <top style="hair"/>
      <bottom style="double"/>
    </border>
    <border>
      <left style="hair"/>
      <right style="hair"/>
      <top style="hair"/>
      <bottom style="double"/>
    </border>
    <border>
      <left style="hair"/>
      <right style="double"/>
      <top style="hair"/>
      <bottom style="double"/>
    </border>
    <border>
      <left>
        <color indexed="63"/>
      </left>
      <right style="hair"/>
      <top style="hair"/>
      <bottom style="double"/>
    </border>
    <border>
      <left style="hair"/>
      <right>
        <color indexed="63"/>
      </right>
      <top style="hair"/>
      <bottom style="double"/>
    </border>
    <border>
      <left style="double"/>
      <right>
        <color indexed="63"/>
      </right>
      <top style="double"/>
      <bottom>
        <color indexed="63"/>
      </bottom>
    </border>
    <border>
      <left>
        <color indexed="63"/>
      </left>
      <right style="double"/>
      <top style="double"/>
      <bottom>
        <color indexed="63"/>
      </bottom>
    </border>
    <border>
      <left style="thin"/>
      <right style="double"/>
      <top>
        <color indexed="63"/>
      </top>
      <bottom>
        <color indexed="63"/>
      </bottom>
    </border>
    <border>
      <left style="double"/>
      <right style="thin"/>
      <top>
        <color indexed="63"/>
      </top>
      <bottom style="double"/>
    </border>
    <border>
      <left style="double"/>
      <right>
        <color indexed="63"/>
      </right>
      <top>
        <color indexed="63"/>
      </top>
      <bottom style="thin"/>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thin"/>
    </border>
    <border>
      <left style="thin"/>
      <right>
        <color indexed="63"/>
      </right>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4" fillId="0" borderId="0">
      <alignment/>
      <protection/>
    </xf>
    <xf numFmtId="0" fontId="0" fillId="25" borderId="8" applyNumberFormat="0" applyFont="0" applyAlignment="0" applyProtection="0"/>
    <xf numFmtId="0" fontId="5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397">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174" fontId="2" fillId="0" borderId="12" xfId="0" applyNumberFormat="1" applyFont="1" applyBorder="1" applyAlignment="1">
      <alignment horizontal="center" vertical="center" wrapText="1"/>
    </xf>
    <xf numFmtId="0" fontId="2" fillId="0" borderId="10" xfId="0" applyFont="1" applyBorder="1" applyAlignment="1" quotePrefix="1">
      <alignment horizontal="center"/>
    </xf>
    <xf numFmtId="0" fontId="2" fillId="0" borderId="11" xfId="0" applyFont="1" applyBorder="1" applyAlignment="1" quotePrefix="1">
      <alignment horizontal="center"/>
    </xf>
    <xf numFmtId="175" fontId="0" fillId="0" borderId="10" xfId="0" applyNumberFormat="1" applyBorder="1" applyAlignment="1">
      <alignment horizontal="center"/>
    </xf>
    <xf numFmtId="1" fontId="0" fillId="0" borderId="11" xfId="0" applyNumberFormat="1" applyBorder="1" applyAlignment="1">
      <alignment horizontal="center"/>
    </xf>
    <xf numFmtId="0" fontId="0" fillId="0" borderId="13" xfId="0" applyBorder="1" applyAlignment="1">
      <alignment horizontal="center"/>
    </xf>
    <xf numFmtId="175" fontId="0" fillId="0" borderId="14" xfId="0" applyNumberFormat="1" applyBorder="1" applyAlignment="1">
      <alignment horizontal="center"/>
    </xf>
    <xf numFmtId="1" fontId="0" fillId="0" borderId="15"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2"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176" fontId="0" fillId="0" borderId="10" xfId="0" applyNumberFormat="1" applyBorder="1" applyAlignment="1">
      <alignment horizontal="center"/>
    </xf>
    <xf numFmtId="176" fontId="0" fillId="0" borderId="14" xfId="0" applyNumberFormat="1" applyBorder="1" applyAlignment="1">
      <alignment horizontal="center"/>
    </xf>
    <xf numFmtId="4" fontId="0" fillId="0" borderId="10" xfId="0" applyNumberFormat="1" applyBorder="1" applyAlignment="1">
      <alignment horizontal="center"/>
    </xf>
    <xf numFmtId="4" fontId="0" fillId="0" borderId="14" xfId="0" applyNumberFormat="1" applyBorder="1" applyAlignment="1">
      <alignment horizontal="center"/>
    </xf>
    <xf numFmtId="172" fontId="0" fillId="0" borderId="11" xfId="0" applyNumberFormat="1" applyBorder="1" applyAlignment="1">
      <alignment horizontal="center"/>
    </xf>
    <xf numFmtId="172" fontId="0" fillId="0" borderId="15" xfId="0" applyNumberFormat="1" applyBorder="1" applyAlignment="1">
      <alignment horizontal="center"/>
    </xf>
    <xf numFmtId="0" fontId="0" fillId="0" borderId="16" xfId="0" applyBorder="1" applyAlignment="1">
      <alignment horizontal="center"/>
    </xf>
    <xf numFmtId="4" fontId="0" fillId="0" borderId="16" xfId="0" applyNumberFormat="1" applyBorder="1" applyAlignment="1">
      <alignment horizontal="center"/>
    </xf>
    <xf numFmtId="172" fontId="0" fillId="0" borderId="17" xfId="0" applyNumberFormat="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176" fontId="0" fillId="0" borderId="16" xfId="0" applyNumberFormat="1" applyBorder="1" applyAlignment="1">
      <alignment horizontal="center"/>
    </xf>
    <xf numFmtId="176" fontId="0" fillId="0" borderId="11" xfId="0" applyNumberFormat="1" applyBorder="1" applyAlignment="1">
      <alignment horizontal="center"/>
    </xf>
    <xf numFmtId="176" fontId="0" fillId="0" borderId="15" xfId="0" applyNumberForma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4" fontId="0" fillId="0" borderId="10" xfId="0" applyNumberFormat="1" applyBorder="1" applyAlignment="1">
      <alignment horizontal="center" vertical="center"/>
    </xf>
    <xf numFmtId="4" fontId="0" fillId="0" borderId="16" xfId="0" applyNumberFormat="1" applyBorder="1" applyAlignment="1">
      <alignment horizontal="center" vertical="center"/>
    </xf>
    <xf numFmtId="4" fontId="0" fillId="0" borderId="14" xfId="0" applyNumberFormat="1" applyBorder="1" applyAlignment="1">
      <alignment horizontal="center" vertical="center"/>
    </xf>
    <xf numFmtId="0" fontId="0" fillId="0" borderId="0" xfId="0" applyAlignment="1">
      <alignment horizontal="center" vertical="center"/>
    </xf>
    <xf numFmtId="172" fontId="0" fillId="0" borderId="22" xfId="0" applyNumberFormat="1" applyBorder="1" applyAlignment="1">
      <alignment horizontal="center" vertical="center"/>
    </xf>
    <xf numFmtId="172" fontId="0" fillId="0" borderId="10" xfId="0" applyNumberFormat="1" applyBorder="1" applyAlignment="1">
      <alignment horizontal="center" vertical="center"/>
    </xf>
    <xf numFmtId="172" fontId="0" fillId="0" borderId="11" xfId="0" applyNumberFormat="1" applyBorder="1" applyAlignment="1">
      <alignment horizontal="center" vertical="center"/>
    </xf>
    <xf numFmtId="0" fontId="3" fillId="0" borderId="0" xfId="0" applyFont="1" applyBorder="1" applyAlignment="1">
      <alignment horizontal="center"/>
    </xf>
    <xf numFmtId="4" fontId="0" fillId="0" borderId="22" xfId="0" applyNumberFormat="1" applyBorder="1" applyAlignment="1">
      <alignment horizontal="center" vertical="center"/>
    </xf>
    <xf numFmtId="4" fontId="0" fillId="0" borderId="23"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5" fillId="0" borderId="22"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3"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2" fontId="5" fillId="0" borderId="22" xfId="0" applyNumberFormat="1" applyFont="1" applyBorder="1" applyAlignment="1">
      <alignment horizontal="center" vertical="center"/>
    </xf>
    <xf numFmtId="0" fontId="3" fillId="0" borderId="29" xfId="0" applyFont="1" applyBorder="1" applyAlignment="1">
      <alignment horizontal="center" vertical="center"/>
    </xf>
    <xf numFmtId="4" fontId="5" fillId="0" borderId="25"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xf>
    <xf numFmtId="0" fontId="3" fillId="0" borderId="30" xfId="0" applyFont="1" applyBorder="1" applyAlignment="1">
      <alignment horizontal="center"/>
    </xf>
    <xf numFmtId="0" fontId="3" fillId="0" borderId="13" xfId="0" applyFont="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172" fontId="0" fillId="0" borderId="14" xfId="0" applyNumberFormat="1" applyBorder="1" applyAlignment="1">
      <alignment horizontal="center" vertical="center"/>
    </xf>
    <xf numFmtId="172" fontId="0" fillId="0" borderId="15" xfId="0" applyNumberForma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4" fontId="3" fillId="0" borderId="22" xfId="0" applyNumberFormat="1" applyFont="1" applyBorder="1" applyAlignment="1">
      <alignment horizontal="center" vertical="center"/>
    </xf>
    <xf numFmtId="174" fontId="3" fillId="0" borderId="24"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3" fillId="0" borderId="13" xfId="0" applyNumberFormat="1" applyFont="1" applyBorder="1" applyAlignment="1">
      <alignment horizontal="center" vertical="center"/>
    </xf>
    <xf numFmtId="172" fontId="0" fillId="0" borderId="10" xfId="0" applyNumberFormat="1"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28" xfId="0" applyBorder="1" applyAlignment="1">
      <alignment horizontal="center"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172" fontId="0" fillId="0" borderId="35" xfId="0" applyNumberFormat="1" applyBorder="1" applyAlignment="1">
      <alignment horizontal="center"/>
    </xf>
    <xf numFmtId="172" fontId="0" fillId="0" borderId="36" xfId="0" applyNumberFormat="1" applyBorder="1" applyAlignment="1">
      <alignment horizontal="center"/>
    </xf>
    <xf numFmtId="0" fontId="0" fillId="0" borderId="12" xfId="0" applyBorder="1" applyAlignment="1">
      <alignment horizontal="left" indent="1"/>
    </xf>
    <xf numFmtId="0" fontId="0" fillId="0" borderId="13" xfId="0" applyBorder="1" applyAlignment="1">
      <alignment horizontal="left" indent="1"/>
    </xf>
    <xf numFmtId="0" fontId="0" fillId="0" borderId="18" xfId="0" applyBorder="1" applyAlignment="1">
      <alignment horizontal="left" indent="1"/>
    </xf>
    <xf numFmtId="0" fontId="0" fillId="0" borderId="37" xfId="0" applyBorder="1" applyAlignment="1">
      <alignment horizontal="left" indent="1"/>
    </xf>
    <xf numFmtId="0" fontId="0" fillId="0" borderId="30" xfId="0" applyBorder="1" applyAlignment="1">
      <alignment horizontal="left" inden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0" xfId="0" applyFont="1" applyAlignment="1">
      <alignment/>
    </xf>
    <xf numFmtId="0" fontId="3" fillId="0" borderId="16" xfId="0" applyFont="1" applyBorder="1" applyAlignment="1">
      <alignment horizontal="center" vertical="center"/>
    </xf>
    <xf numFmtId="4" fontId="0" fillId="0" borderId="11" xfId="0" applyNumberFormat="1" applyBorder="1" applyAlignment="1">
      <alignment horizontal="center" vertical="center"/>
    </xf>
    <xf numFmtId="4" fontId="0" fillId="0" borderId="17" xfId="0" applyNumberFormat="1" applyBorder="1" applyAlignment="1">
      <alignment horizontal="center" vertical="center"/>
    </xf>
    <xf numFmtId="4" fontId="0" fillId="0" borderId="15" xfId="0" applyNumberFormat="1" applyBorder="1" applyAlignment="1">
      <alignment horizontal="center" vertical="center"/>
    </xf>
    <xf numFmtId="0" fontId="0" fillId="0" borderId="10" xfId="0" applyFont="1" applyBorder="1" applyAlignment="1">
      <alignment horizontal="center" vertical="center"/>
    </xf>
    <xf numFmtId="4" fontId="0" fillId="0" borderId="11" xfId="0" applyNumberFormat="1" applyFont="1" applyBorder="1" applyAlignment="1">
      <alignment horizontal="center" vertical="center"/>
    </xf>
    <xf numFmtId="0" fontId="0" fillId="0" borderId="16" xfId="0" applyFont="1" applyBorder="1" applyAlignment="1">
      <alignment horizontal="center" vertical="center"/>
    </xf>
    <xf numFmtId="4" fontId="0" fillId="0" borderId="15" xfId="0" applyNumberFormat="1" applyFont="1" applyBorder="1" applyAlignment="1">
      <alignment horizontal="center" vertical="center"/>
    </xf>
    <xf numFmtId="4" fontId="0" fillId="0" borderId="18" xfId="0" applyNumberFormat="1" applyFont="1" applyBorder="1" applyAlignment="1">
      <alignment horizontal="center" vertical="center"/>
    </xf>
    <xf numFmtId="4" fontId="0" fillId="0" borderId="18" xfId="0" applyNumberFormat="1" applyFont="1" applyFill="1" applyBorder="1" applyAlignment="1">
      <alignment horizontal="center" vertical="center"/>
    </xf>
    <xf numFmtId="4" fontId="0" fillId="0" borderId="11" xfId="0" applyNumberFormat="1" applyFont="1" applyFill="1" applyBorder="1" applyAlignment="1">
      <alignment horizontal="center" vertical="center"/>
    </xf>
    <xf numFmtId="0" fontId="3" fillId="0" borderId="37" xfId="0" applyFont="1" applyBorder="1" applyAlignment="1">
      <alignment horizontal="center" vertical="center"/>
    </xf>
    <xf numFmtId="4" fontId="0" fillId="0" borderId="37"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37" xfId="0" applyNumberFormat="1" applyFont="1" applyBorder="1" applyAlignment="1">
      <alignment horizontal="center" vertical="center"/>
    </xf>
    <xf numFmtId="0" fontId="0" fillId="0" borderId="11" xfId="0" applyFont="1" applyBorder="1" applyAlignment="1">
      <alignment horizontal="center"/>
    </xf>
    <xf numFmtId="0" fontId="3" fillId="0" borderId="40" xfId="0" applyFont="1" applyBorder="1" applyAlignment="1">
      <alignment horizontal="center" vertical="center"/>
    </xf>
    <xf numFmtId="0" fontId="3" fillId="0" borderId="24" xfId="0" applyFont="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1" xfId="0" applyFont="1" applyBorder="1" applyAlignment="1">
      <alignment horizontal="center" vertical="center"/>
    </xf>
    <xf numFmtId="0" fontId="0" fillId="0" borderId="10" xfId="0" applyBorder="1" applyAlignment="1" quotePrefix="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8" fillId="0" borderId="0" xfId="0" applyFont="1" applyAlignment="1">
      <alignment horizontal="center" vertical="center"/>
    </xf>
    <xf numFmtId="0" fontId="8" fillId="0" borderId="48" xfId="0" applyFont="1" applyBorder="1" applyAlignment="1">
      <alignment horizontal="center" vertical="center"/>
    </xf>
    <xf numFmtId="0" fontId="9" fillId="0" borderId="48" xfId="0" applyFont="1" applyBorder="1" applyAlignment="1">
      <alignment horizontal="center" vertical="center" wrapText="1"/>
    </xf>
    <xf numFmtId="4" fontId="8" fillId="0" borderId="48" xfId="0" applyNumberFormat="1" applyFont="1" applyBorder="1" applyAlignment="1">
      <alignment horizontal="center" vertical="center"/>
    </xf>
    <xf numFmtId="0" fontId="8" fillId="0" borderId="48" xfId="0" applyFont="1" applyFill="1" applyBorder="1" applyAlignment="1">
      <alignment horizontal="center" vertical="center"/>
    </xf>
    <xf numFmtId="178" fontId="8" fillId="0" borderId="48" xfId="0" applyNumberFormat="1" applyFont="1" applyFill="1" applyBorder="1" applyAlignment="1">
      <alignment horizontal="center" vertical="center"/>
    </xf>
    <xf numFmtId="4" fontId="8" fillId="0" borderId="48" xfId="0" applyNumberFormat="1" applyFont="1" applyFill="1" applyBorder="1" applyAlignment="1">
      <alignment horizontal="center" vertical="center"/>
    </xf>
    <xf numFmtId="0" fontId="10" fillId="0" borderId="0" xfId="0" applyFont="1" applyAlignment="1">
      <alignment/>
    </xf>
    <xf numFmtId="0" fontId="10" fillId="0" borderId="48" xfId="0" applyFont="1" applyBorder="1" applyAlignment="1">
      <alignment horizontal="center"/>
    </xf>
    <xf numFmtId="0" fontId="10" fillId="0" borderId="0" xfId="0" applyFont="1" applyAlignment="1">
      <alignment horizontal="center"/>
    </xf>
    <xf numFmtId="0" fontId="3" fillId="0" borderId="49" xfId="0" applyFont="1" applyBorder="1" applyAlignment="1">
      <alignment horizontal="center"/>
    </xf>
    <xf numFmtId="0" fontId="3" fillId="0" borderId="48" xfId="0" applyFont="1" applyBorder="1" applyAlignment="1">
      <alignment horizontal="center"/>
    </xf>
    <xf numFmtId="178" fontId="3" fillId="0" borderId="48" xfId="0" applyNumberFormat="1" applyFont="1" applyBorder="1" applyAlignment="1">
      <alignment horizontal="center"/>
    </xf>
    <xf numFmtId="0" fontId="3" fillId="0" borderId="50" xfId="0" applyFont="1" applyBorder="1" applyAlignment="1">
      <alignment horizontal="center"/>
    </xf>
    <xf numFmtId="176" fontId="10" fillId="0" borderId="49" xfId="0" applyNumberFormat="1" applyFont="1" applyBorder="1" applyAlignment="1">
      <alignment horizontal="center"/>
    </xf>
    <xf numFmtId="172" fontId="10" fillId="0" borderId="48" xfId="0" applyNumberFormat="1" applyFont="1" applyBorder="1" applyAlignment="1">
      <alignment horizontal="center"/>
    </xf>
    <xf numFmtId="4" fontId="10" fillId="0" borderId="48" xfId="0" applyNumberFormat="1" applyFont="1" applyBorder="1" applyAlignment="1">
      <alignment horizontal="center"/>
    </xf>
    <xf numFmtId="0" fontId="10" fillId="0" borderId="50" xfId="0" applyFont="1" applyBorder="1" applyAlignment="1">
      <alignment horizontal="center"/>
    </xf>
    <xf numFmtId="175" fontId="10" fillId="0" borderId="0" xfId="0" applyNumberFormat="1" applyFont="1" applyAlignment="1">
      <alignment/>
    </xf>
    <xf numFmtId="176" fontId="10" fillId="0" borderId="51" xfId="0" applyNumberFormat="1" applyFont="1" applyBorder="1" applyAlignment="1">
      <alignment horizontal="center"/>
    </xf>
    <xf numFmtId="172" fontId="10" fillId="0" borderId="52" xfId="0" applyNumberFormat="1" applyFont="1" applyBorder="1" applyAlignment="1">
      <alignment horizontal="center"/>
    </xf>
    <xf numFmtId="0" fontId="10" fillId="0" borderId="52" xfId="0" applyFont="1" applyBorder="1" applyAlignment="1">
      <alignment horizontal="center"/>
    </xf>
    <xf numFmtId="4" fontId="10" fillId="0" borderId="52" xfId="0" applyNumberFormat="1" applyFont="1" applyBorder="1" applyAlignment="1">
      <alignment horizontal="center"/>
    </xf>
    <xf numFmtId="0" fontId="10" fillId="0" borderId="53" xfId="0" applyFont="1" applyBorder="1" applyAlignment="1">
      <alignment horizontal="center"/>
    </xf>
    <xf numFmtId="4" fontId="10" fillId="0" borderId="0" xfId="0" applyNumberFormat="1" applyFont="1" applyAlignment="1">
      <alignment/>
    </xf>
    <xf numFmtId="0" fontId="3" fillId="0" borderId="26"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22" xfId="0" applyFont="1" applyBorder="1" applyAlignment="1">
      <alignment horizontal="center"/>
    </xf>
    <xf numFmtId="0" fontId="1" fillId="0" borderId="0" xfId="0" applyFont="1" applyBorder="1" applyAlignment="1">
      <alignment horizontal="left"/>
    </xf>
    <xf numFmtId="0" fontId="13" fillId="0" borderId="0" xfId="0" applyFont="1" applyBorder="1" applyAlignment="1">
      <alignment horizontal="left"/>
    </xf>
    <xf numFmtId="0" fontId="0" fillId="0" borderId="0" xfId="0" applyBorder="1" applyAlignment="1">
      <alignment horizontal="left"/>
    </xf>
    <xf numFmtId="0" fontId="12" fillId="0" borderId="0" xfId="0" applyFont="1" applyBorder="1" applyAlignment="1">
      <alignment horizontal="left"/>
    </xf>
    <xf numFmtId="0" fontId="13" fillId="0" borderId="0" xfId="0" applyFont="1" applyBorder="1" applyAlignment="1">
      <alignment horizontal="left" indent="3"/>
    </xf>
    <xf numFmtId="0" fontId="12" fillId="0" borderId="0" xfId="0" applyFont="1" applyBorder="1" applyAlignment="1">
      <alignment horizontal="center"/>
    </xf>
    <xf numFmtId="4" fontId="15" fillId="0" borderId="0" xfId="0" applyNumberFormat="1" applyFont="1" applyBorder="1" applyAlignment="1">
      <alignment horizontal="center"/>
    </xf>
    <xf numFmtId="0" fontId="15" fillId="0" borderId="0" xfId="0" applyFont="1" applyBorder="1" applyAlignment="1">
      <alignment horizontal="center"/>
    </xf>
    <xf numFmtId="0" fontId="15" fillId="0" borderId="28" xfId="0" applyFont="1" applyBorder="1" applyAlignment="1">
      <alignment horizontal="center" vertical="center" wrapText="1"/>
    </xf>
    <xf numFmtId="0" fontId="0" fillId="0" borderId="0" xfId="0" applyAlignment="1">
      <alignment horizontal="left"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5" fillId="0" borderId="2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1" xfId="0" applyFont="1" applyBorder="1" applyAlignment="1">
      <alignment horizontal="center" vertical="center" wrapText="1"/>
    </xf>
    <xf numFmtId="4" fontId="0" fillId="0" borderId="11" xfId="0" applyNumberFormat="1" applyBorder="1" applyAlignment="1">
      <alignment horizontal="center"/>
    </xf>
    <xf numFmtId="4" fontId="0" fillId="0" borderId="15" xfId="0" applyNumberFormat="1" applyBorder="1" applyAlignment="1">
      <alignment horizontal="center"/>
    </xf>
    <xf numFmtId="0" fontId="3" fillId="0" borderId="27" xfId="0" applyFont="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0" fillId="0" borderId="0" xfId="0" applyAlignment="1" quotePrefix="1">
      <alignment/>
    </xf>
    <xf numFmtId="176" fontId="0" fillId="0" borderId="0" xfId="0" applyNumberFormat="1" applyFont="1" applyAlignment="1">
      <alignment horizontal="center"/>
    </xf>
    <xf numFmtId="176" fontId="3" fillId="0" borderId="26" xfId="0" applyNumberFormat="1" applyFont="1" applyBorder="1" applyAlignment="1">
      <alignment horizontal="center"/>
    </xf>
    <xf numFmtId="4" fontId="0" fillId="0" borderId="28" xfId="0" applyNumberFormat="1" applyBorder="1" applyAlignment="1">
      <alignment horizontal="center"/>
    </xf>
    <xf numFmtId="176" fontId="3" fillId="0" borderId="12" xfId="0" applyNumberFormat="1" applyFont="1" applyBorder="1" applyAlignment="1">
      <alignment horizontal="center"/>
    </xf>
    <xf numFmtId="176" fontId="3" fillId="0" borderId="13" xfId="0" applyNumberFormat="1" applyFont="1" applyBorder="1" applyAlignment="1">
      <alignment horizontal="center"/>
    </xf>
    <xf numFmtId="0" fontId="3" fillId="0" borderId="14" xfId="0" applyFont="1" applyBorder="1" applyAlignment="1">
      <alignment horizontal="center"/>
    </xf>
    <xf numFmtId="0" fontId="3" fillId="0" borderId="54" xfId="0" applyFont="1" applyBorder="1" applyAlignment="1">
      <alignment/>
    </xf>
    <xf numFmtId="0" fontId="0" fillId="0" borderId="54" xfId="0" applyBorder="1" applyAlignment="1">
      <alignment/>
    </xf>
    <xf numFmtId="0" fontId="3" fillId="0" borderId="36" xfId="0" applyFont="1" applyBorder="1" applyAlignment="1">
      <alignment horizontal="center"/>
    </xf>
    <xf numFmtId="176" fontId="3" fillId="0" borderId="29" xfId="0" applyNumberFormat="1" applyFont="1" applyFill="1" applyBorder="1" applyAlignment="1">
      <alignment horizontal="center"/>
    </xf>
    <xf numFmtId="176" fontId="3" fillId="0" borderId="11" xfId="0" applyNumberFormat="1" applyFont="1" applyFill="1" applyBorder="1" applyAlignment="1">
      <alignment horizontal="center"/>
    </xf>
    <xf numFmtId="176" fontId="3" fillId="0" borderId="15" xfId="0" applyNumberFormat="1" applyFont="1" applyFill="1" applyBorder="1" applyAlignment="1">
      <alignment horizontal="center"/>
    </xf>
    <xf numFmtId="0" fontId="2" fillId="0" borderId="0" xfId="0" applyFont="1" applyFill="1" applyBorder="1" applyAlignment="1">
      <alignment horizontal="center"/>
    </xf>
    <xf numFmtId="0" fontId="3" fillId="0" borderId="28" xfId="0" applyFont="1" applyBorder="1" applyAlignment="1">
      <alignment/>
    </xf>
    <xf numFmtId="0" fontId="3" fillId="0" borderId="29" xfId="0" applyFont="1" applyBorder="1" applyAlignment="1">
      <alignment/>
    </xf>
    <xf numFmtId="0" fontId="0" fillId="0" borderId="10" xfId="0" applyBorder="1" applyAlignment="1" quotePrefix="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11" fillId="0" borderId="0" xfId="0" applyFont="1" applyAlignment="1">
      <alignment/>
    </xf>
    <xf numFmtId="0" fontId="3" fillId="0" borderId="12" xfId="0" applyFont="1" applyBorder="1" applyAlignment="1" quotePrefix="1">
      <alignment horizontal="center"/>
    </xf>
    <xf numFmtId="0" fontId="3" fillId="0" borderId="13" xfId="0" applyFont="1" applyBorder="1" applyAlignment="1" quotePrefix="1">
      <alignment horizontal="center"/>
    </xf>
    <xf numFmtId="0" fontId="0" fillId="0" borderId="26" xfId="0" applyBorder="1" applyAlignment="1">
      <alignment vertical="center"/>
    </xf>
    <xf numFmtId="4" fontId="0" fillId="0" borderId="29"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0" fillId="0" borderId="26"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4" fontId="0" fillId="0" borderId="29" xfId="0" applyNumberFormat="1"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8" xfId="0" applyFont="1" applyBorder="1" applyAlignment="1">
      <alignment horizontal="center"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49" fontId="8" fillId="0" borderId="60" xfId="0" applyNumberFormat="1" applyFont="1" applyBorder="1" applyAlignment="1">
      <alignment horizontal="center" vertical="center"/>
    </xf>
    <xf numFmtId="178" fontId="8" fillId="0" borderId="60" xfId="0" applyNumberFormat="1" applyFont="1" applyBorder="1" applyAlignment="1">
      <alignment horizontal="center" vertical="center"/>
    </xf>
    <xf numFmtId="178" fontId="8" fillId="0" borderId="61" xfId="0" applyNumberFormat="1" applyFont="1" applyBorder="1" applyAlignment="1">
      <alignment horizontal="center" vertical="center"/>
    </xf>
    <xf numFmtId="4" fontId="8" fillId="0" borderId="60" xfId="0" applyNumberFormat="1" applyFont="1" applyBorder="1" applyAlignment="1">
      <alignment horizontal="center" vertical="center"/>
    </xf>
    <xf numFmtId="4" fontId="8" fillId="0" borderId="61" xfId="0" applyNumberFormat="1" applyFont="1" applyBorder="1" applyAlignment="1">
      <alignment horizontal="center" vertical="center"/>
    </xf>
    <xf numFmtId="4" fontId="8" fillId="33" borderId="62" xfId="0" applyNumberFormat="1" applyFont="1" applyFill="1" applyBorder="1" applyAlignment="1">
      <alignment horizontal="center" vertical="center"/>
    </xf>
    <xf numFmtId="4" fontId="8" fillId="34" borderId="63" xfId="0" applyNumberFormat="1" applyFont="1" applyFill="1" applyBorder="1" applyAlignment="1">
      <alignment horizontal="center" vertical="center"/>
    </xf>
    <xf numFmtId="0" fontId="8" fillId="0" borderId="61" xfId="0" applyFont="1" applyFill="1" applyBorder="1" applyAlignment="1">
      <alignment horizontal="center" vertical="center"/>
    </xf>
    <xf numFmtId="0" fontId="8" fillId="0" borderId="64" xfId="0" applyFont="1" applyFill="1" applyBorder="1" applyAlignment="1">
      <alignment horizontal="center" vertical="center"/>
    </xf>
    <xf numFmtId="49" fontId="8" fillId="0" borderId="61" xfId="0" applyNumberFormat="1" applyFont="1" applyBorder="1" applyAlignment="1">
      <alignment horizontal="center" vertical="center"/>
    </xf>
    <xf numFmtId="0" fontId="8" fillId="0" borderId="60" xfId="0" applyFont="1" applyFill="1" applyBorder="1" applyAlignment="1">
      <alignment horizontal="center" vertical="center"/>
    </xf>
    <xf numFmtId="178" fontId="8" fillId="0" borderId="60" xfId="0" applyNumberFormat="1" applyFont="1" applyFill="1" applyBorder="1" applyAlignment="1">
      <alignment horizontal="center" vertical="center"/>
    </xf>
    <xf numFmtId="178" fontId="8" fillId="0" borderId="61"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4" fontId="8" fillId="0" borderId="60" xfId="0" applyNumberFormat="1" applyFont="1" applyFill="1" applyBorder="1" applyAlignment="1">
      <alignment horizontal="center" vertical="center"/>
    </xf>
    <xf numFmtId="4" fontId="8" fillId="0" borderId="61" xfId="0" applyNumberFormat="1" applyFont="1" applyFill="1" applyBorder="1" applyAlignment="1">
      <alignment horizontal="center" vertical="center"/>
    </xf>
    <xf numFmtId="49" fontId="8" fillId="0" borderId="65" xfId="0" applyNumberFormat="1" applyFont="1" applyFill="1" applyBorder="1" applyAlignment="1">
      <alignment horizontal="center" vertical="center"/>
    </xf>
    <xf numFmtId="4" fontId="8" fillId="0" borderId="66" xfId="0" applyNumberFormat="1" applyFont="1" applyFill="1" applyBorder="1" applyAlignment="1">
      <alignment horizontal="center" vertical="center"/>
    </xf>
    <xf numFmtId="4" fontId="8" fillId="0" borderId="66" xfId="0" applyNumberFormat="1" applyFont="1" applyBorder="1" applyAlignment="1">
      <alignment horizontal="center" vertical="center"/>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178" fontId="8" fillId="0" borderId="65" xfId="0" applyNumberFormat="1" applyFont="1" applyFill="1" applyBorder="1" applyAlignment="1">
      <alignment horizontal="center" vertical="center"/>
    </xf>
    <xf numFmtId="178" fontId="8" fillId="0" borderId="66" xfId="0" applyNumberFormat="1" applyFont="1" applyFill="1" applyBorder="1" applyAlignment="1">
      <alignment horizontal="center" vertical="center"/>
    </xf>
    <xf numFmtId="178" fontId="8" fillId="0" borderId="67" xfId="0" applyNumberFormat="1" applyFont="1" applyFill="1" applyBorder="1" applyAlignment="1">
      <alignment horizontal="center" vertical="center"/>
    </xf>
    <xf numFmtId="4" fontId="8" fillId="0" borderId="65" xfId="0" applyNumberFormat="1" applyFont="1" applyFill="1" applyBorder="1" applyAlignment="1">
      <alignment horizontal="center" vertical="center"/>
    </xf>
    <xf numFmtId="4" fontId="8" fillId="0" borderId="67" xfId="0" applyNumberFormat="1" applyFont="1" applyFill="1" applyBorder="1" applyAlignment="1">
      <alignment horizontal="center" vertical="center"/>
    </xf>
    <xf numFmtId="4" fontId="8" fillId="33" borderId="68" xfId="0" applyNumberFormat="1" applyFont="1" applyFill="1" applyBorder="1" applyAlignment="1">
      <alignment horizontal="center" vertical="center"/>
    </xf>
    <xf numFmtId="4" fontId="8" fillId="34" borderId="69" xfId="0" applyNumberFormat="1" applyFont="1" applyFill="1" applyBorder="1" applyAlignment="1">
      <alignment horizontal="center" vertical="center"/>
    </xf>
    <xf numFmtId="0" fontId="8" fillId="0" borderId="65" xfId="0" applyFont="1" applyBorder="1" applyAlignment="1">
      <alignment horizontal="center" vertical="center"/>
    </xf>
    <xf numFmtId="49" fontId="8" fillId="0" borderId="67" xfId="0" applyNumberFormat="1" applyFont="1" applyBorder="1" applyAlignment="1">
      <alignment horizontal="center" vertical="center"/>
    </xf>
    <xf numFmtId="0" fontId="0" fillId="0" borderId="0" xfId="0" applyAlignment="1">
      <alignment horizontal="left"/>
    </xf>
    <xf numFmtId="0" fontId="0" fillId="0" borderId="0" xfId="0" applyAlignment="1">
      <alignment/>
    </xf>
    <xf numFmtId="0" fontId="0" fillId="0" borderId="12" xfId="0" applyBorder="1" applyAlignment="1">
      <alignment horizontal="center"/>
    </xf>
    <xf numFmtId="0" fontId="3" fillId="0" borderId="10" xfId="0" applyFont="1" applyBorder="1" applyAlignment="1">
      <alignment horizontal="left"/>
    </xf>
    <xf numFmtId="0" fontId="3" fillId="0" borderId="10" xfId="0" applyFont="1" applyBorder="1" applyAlignment="1">
      <alignment/>
    </xf>
    <xf numFmtId="0" fontId="3" fillId="0" borderId="14" xfId="0" applyFont="1" applyBorder="1" applyAlignment="1">
      <alignment/>
    </xf>
    <xf numFmtId="0" fontId="0" fillId="0" borderId="0" xfId="0" applyAlignment="1" quotePrefix="1">
      <alignment horizontal="center"/>
    </xf>
    <xf numFmtId="0" fontId="0" fillId="0" borderId="12" xfId="0" applyFill="1" applyBorder="1" applyAlignment="1">
      <alignment horizontal="left"/>
    </xf>
    <xf numFmtId="0" fontId="0" fillId="0" borderId="11" xfId="0" applyBorder="1" applyAlignment="1">
      <alignmen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quotePrefix="1">
      <alignment horizontal="center"/>
    </xf>
    <xf numFmtId="0" fontId="0" fillId="0" borderId="15" xfId="0" applyBorder="1" applyAlignment="1">
      <alignment/>
    </xf>
    <xf numFmtId="0" fontId="3" fillId="0" borderId="26" xfId="0" applyFont="1" applyBorder="1" applyAlignment="1">
      <alignment vertical="center"/>
    </xf>
    <xf numFmtId="0" fontId="3" fillId="0" borderId="28" xfId="0" applyFont="1" applyBorder="1" applyAlignment="1">
      <alignment vertical="top" wrapText="1"/>
    </xf>
    <xf numFmtId="0" fontId="3" fillId="0" borderId="29" xfId="0" applyFont="1" applyBorder="1" applyAlignment="1">
      <alignment vertical="top" wrapText="1"/>
    </xf>
    <xf numFmtId="0" fontId="15" fillId="0" borderId="0" xfId="0" applyFont="1" applyBorder="1" applyAlignment="1">
      <alignment horizontal="center" vertical="center" wrapText="1"/>
    </xf>
    <xf numFmtId="0" fontId="3" fillId="0" borderId="26"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6" fillId="0" borderId="31" xfId="0" applyFont="1" applyBorder="1" applyAlignment="1">
      <alignment horizontal="center" vertical="center"/>
    </xf>
    <xf numFmtId="0" fontId="8" fillId="0" borderId="54"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3" fillId="0" borderId="12" xfId="0" applyFont="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172" fontId="0" fillId="0" borderId="17" xfId="0" applyNumberFormat="1" applyBorder="1" applyAlignment="1">
      <alignment horizontal="center" vertical="center"/>
    </xf>
    <xf numFmtId="172" fontId="0" fillId="0" borderId="72" xfId="0" applyNumberFormat="1" applyBorder="1" applyAlignment="1">
      <alignment horizontal="center" vertical="center"/>
    </xf>
    <xf numFmtId="172" fontId="0" fillId="0" borderId="25" xfId="0" applyNumberFormat="1" applyBorder="1" applyAlignment="1">
      <alignment horizontal="center" vertical="center"/>
    </xf>
    <xf numFmtId="177" fontId="3" fillId="0" borderId="30"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0" fillId="0" borderId="22" xfId="0" applyBorder="1" applyAlignment="1">
      <alignment horizontal="center" vertical="center"/>
    </xf>
    <xf numFmtId="177" fontId="3" fillId="0" borderId="73" xfId="0" applyNumberFormat="1" applyFont="1" applyBorder="1" applyAlignment="1">
      <alignment horizontal="center" vertical="center"/>
    </xf>
    <xf numFmtId="172" fontId="0" fillId="0" borderId="24" xfId="0" applyNumberFormat="1" applyBorder="1" applyAlignment="1">
      <alignment horizontal="center" vertical="center"/>
    </xf>
    <xf numFmtId="0" fontId="3" fillId="0" borderId="39" xfId="0" applyFont="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74" xfId="0" applyFont="1" applyBorder="1" applyAlignment="1">
      <alignment horizontal="center" vertical="center"/>
    </xf>
    <xf numFmtId="0" fontId="3" fillId="0" borderId="21" xfId="0" applyFont="1" applyBorder="1" applyAlignment="1">
      <alignment horizontal="center" vertical="center"/>
    </xf>
    <xf numFmtId="177" fontId="6" fillId="35" borderId="19" xfId="48" applyNumberFormat="1" applyFont="1" applyFill="1" applyBorder="1" applyAlignment="1" applyProtection="1">
      <alignment horizontal="center" vertical="center"/>
      <protection locked="0"/>
    </xf>
    <xf numFmtId="177" fontId="6" fillId="35" borderId="74" xfId="48" applyNumberFormat="1"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0" fillId="0" borderId="16" xfId="0" applyBorder="1" applyAlignment="1" quotePrefix="1">
      <alignment horizontal="center" vertical="center"/>
    </xf>
    <xf numFmtId="0" fontId="0" fillId="0" borderId="41" xfId="0" applyBorder="1" applyAlignment="1" quotePrefix="1">
      <alignment horizontal="center" vertical="center"/>
    </xf>
    <xf numFmtId="0" fontId="0" fillId="0" borderId="22" xfId="0" applyBorder="1" applyAlignment="1" quotePrefix="1">
      <alignment horizontal="center" vertical="center"/>
    </xf>
    <xf numFmtId="0" fontId="3" fillId="0" borderId="73" xfId="0" applyFont="1" applyBorder="1" applyAlignment="1">
      <alignment horizontal="center" vertical="center"/>
    </xf>
    <xf numFmtId="0" fontId="0" fillId="0" borderId="23" xfId="0" applyBorder="1" applyAlignment="1" quotePrefix="1">
      <alignment horizontal="center" vertical="center"/>
    </xf>
    <xf numFmtId="0" fontId="0" fillId="0" borderId="10" xfId="0" applyBorder="1" applyAlignment="1" quotePrefix="1">
      <alignment horizontal="center" vertical="center"/>
    </xf>
    <xf numFmtId="0" fontId="3" fillId="0" borderId="22"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center"/>
    </xf>
    <xf numFmtId="0" fontId="3" fillId="0" borderId="0" xfId="0" applyFont="1" applyBorder="1" applyAlignment="1">
      <alignment horizontal="center"/>
    </xf>
    <xf numFmtId="0" fontId="3" fillId="0" borderId="3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 fillId="0" borderId="3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15" fillId="0" borderId="28" xfId="0" applyFont="1" applyBorder="1" applyAlignment="1">
      <alignment horizontal="center" vertical="center" wrapText="1"/>
    </xf>
    <xf numFmtId="0" fontId="15"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5" fillId="0" borderId="75" xfId="0" applyFont="1" applyBorder="1" applyAlignment="1">
      <alignment horizontal="center" vertical="center" wrapText="1"/>
    </xf>
    <xf numFmtId="0" fontId="15" fillId="0" borderId="31" xfId="0" applyFont="1" applyBorder="1" applyAlignment="1">
      <alignment horizontal="center" vertical="center" wrapText="1"/>
    </xf>
    <xf numFmtId="0" fontId="3" fillId="0" borderId="26" xfId="0" applyFont="1" applyBorder="1" applyAlignment="1">
      <alignment horizontal="center" vertical="center"/>
    </xf>
    <xf numFmtId="0" fontId="3" fillId="0" borderId="26" xfId="0" applyFont="1" applyBorder="1" applyAlignment="1">
      <alignment/>
    </xf>
    <xf numFmtId="0" fontId="3" fillId="0" borderId="28" xfId="0" applyFont="1" applyBorder="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vertical="top" wrapText="1"/>
    </xf>
    <xf numFmtId="0" fontId="3" fillId="0" borderId="0" xfId="0" applyFont="1" applyAlignment="1">
      <alignment vertical="center"/>
    </xf>
    <xf numFmtId="0" fontId="3" fillId="0" borderId="31" xfId="0" applyFont="1" applyBorder="1" applyAlignment="1">
      <alignment vertical="center"/>
    </xf>
    <xf numFmtId="0" fontId="13" fillId="0" borderId="0" xfId="0" applyFont="1" applyBorder="1" applyAlignment="1">
      <alignment horizontal="left" vertical="center" wrapText="1"/>
    </xf>
    <xf numFmtId="0" fontId="19" fillId="0" borderId="0" xfId="0" applyFont="1" applyBorder="1" applyAlignment="1">
      <alignment horizontal="left"/>
    </xf>
    <xf numFmtId="0" fontId="13" fillId="0" borderId="0" xfId="0" applyFont="1" applyBorder="1" applyAlignment="1">
      <alignment horizontal="left"/>
    </xf>
    <xf numFmtId="0" fontId="12" fillId="0" borderId="0" xfId="0" applyFont="1" applyBorder="1" applyAlignment="1">
      <alignment horizontal="center"/>
    </xf>
    <xf numFmtId="0" fontId="15" fillId="0" borderId="0" xfId="0" applyFont="1" applyBorder="1" applyAlignment="1">
      <alignment horizontal="center"/>
    </xf>
    <xf numFmtId="0" fontId="3" fillId="0" borderId="76" xfId="0" applyFont="1" applyFill="1" applyBorder="1" applyAlignment="1">
      <alignment horizontal="center"/>
    </xf>
    <xf numFmtId="0" fontId="3" fillId="0" borderId="77" xfId="0" applyFont="1" applyFill="1" applyBorder="1" applyAlignment="1">
      <alignment horizontal="center"/>
    </xf>
    <xf numFmtId="0" fontId="3" fillId="0" borderId="78" xfId="0" applyFont="1" applyFill="1" applyBorder="1" applyAlignment="1">
      <alignment horizontal="center"/>
    </xf>
    <xf numFmtId="0" fontId="11" fillId="0" borderId="48" xfId="0" applyFont="1" applyBorder="1" applyAlignment="1">
      <alignment horizontal="center"/>
    </xf>
    <xf numFmtId="0" fontId="11" fillId="0" borderId="63" xfId="0" applyFont="1" applyBorder="1" applyAlignment="1">
      <alignment horizontal="center"/>
    </xf>
    <xf numFmtId="0" fontId="11" fillId="0" borderId="50" xfId="0" applyFont="1" applyBorder="1" applyAlignment="1">
      <alignment horizontal="center"/>
    </xf>
    <xf numFmtId="0" fontId="11" fillId="0" borderId="79" xfId="0" applyFont="1" applyBorder="1" applyAlignment="1">
      <alignment horizontal="center"/>
    </xf>
    <xf numFmtId="0" fontId="11" fillId="0" borderId="80" xfId="0" applyFont="1" applyBorder="1" applyAlignment="1">
      <alignment horizontal="center"/>
    </xf>
    <xf numFmtId="0" fontId="11" fillId="0" borderId="81" xfId="0" applyFont="1" applyBorder="1" applyAlignment="1">
      <alignment horizontal="center"/>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8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5" xfId="0" applyFont="1" applyBorder="1" applyAlignment="1">
      <alignment horizontal="center"/>
    </xf>
    <xf numFmtId="0" fontId="3" fillId="0" borderId="88" xfId="0" applyFont="1" applyBorder="1" applyAlignment="1">
      <alignment horizontal="center"/>
    </xf>
    <xf numFmtId="0" fontId="3" fillId="0" borderId="89" xfId="0" applyFont="1" applyBorder="1" applyAlignment="1" quotePrefix="1">
      <alignment/>
    </xf>
    <xf numFmtId="0" fontId="3" fillId="0" borderId="54" xfId="0" applyFont="1" applyBorder="1" applyAlignment="1" quotePrefix="1">
      <alignment/>
    </xf>
    <xf numFmtId="0" fontId="3" fillId="0" borderId="18" xfId="0" applyFont="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54" xfId="0" applyFont="1" applyBorder="1" applyAlignment="1">
      <alignment horizontal="center"/>
    </xf>
    <xf numFmtId="0" fontId="3" fillId="0" borderId="71" xfId="0" applyFont="1" applyBorder="1" applyAlignment="1">
      <alignment horizont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TUNEL1"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1:I27"/>
  <sheetViews>
    <sheetView showGridLines="0" zoomScalePageLayoutView="0" workbookViewId="0" topLeftCell="A1">
      <selection activeCell="B1" sqref="B1:F1"/>
    </sheetView>
  </sheetViews>
  <sheetFormatPr defaultColWidth="9.00390625" defaultRowHeight="12.75"/>
  <cols>
    <col min="1" max="1" width="2.625" style="0" customWidth="1"/>
    <col min="2" max="2" width="16.625" style="0" customWidth="1"/>
    <col min="3" max="6" width="12.625" style="0" customWidth="1"/>
    <col min="7" max="7" width="2.625" style="0" customWidth="1"/>
  </cols>
  <sheetData>
    <row r="1" spans="2:6" ht="19.5" customHeight="1" thickTop="1">
      <c r="B1" s="277" t="s">
        <v>15</v>
      </c>
      <c r="C1" s="278"/>
      <c r="D1" s="278"/>
      <c r="E1" s="278"/>
      <c r="F1" s="279"/>
    </row>
    <row r="2" spans="2:6" ht="15" customHeight="1">
      <c r="B2" s="67" t="s">
        <v>10</v>
      </c>
      <c r="C2" s="15" t="s">
        <v>0</v>
      </c>
      <c r="D2" s="15" t="s">
        <v>2</v>
      </c>
      <c r="E2" s="15" t="s">
        <v>4</v>
      </c>
      <c r="F2" s="16" t="s">
        <v>7</v>
      </c>
    </row>
    <row r="3" spans="2:6" ht="15" customHeight="1">
      <c r="B3" s="67" t="s">
        <v>9</v>
      </c>
      <c r="C3" s="15" t="s">
        <v>1</v>
      </c>
      <c r="D3" s="15" t="s">
        <v>6</v>
      </c>
      <c r="E3" s="15" t="s">
        <v>5</v>
      </c>
      <c r="F3" s="16" t="s">
        <v>8</v>
      </c>
    </row>
    <row r="4" spans="2:9" ht="15" customHeight="1">
      <c r="B4" s="4">
        <v>7.85</v>
      </c>
      <c r="C4" s="5" t="s">
        <v>11</v>
      </c>
      <c r="D4" s="5" t="s">
        <v>12</v>
      </c>
      <c r="E4" s="5" t="s">
        <v>14</v>
      </c>
      <c r="F4" s="6" t="s">
        <v>13</v>
      </c>
      <c r="I4" s="197"/>
    </row>
    <row r="5" spans="2:6" ht="15" customHeight="1">
      <c r="B5" s="67">
        <v>6</v>
      </c>
      <c r="C5" s="7">
        <f>($B$4/10)*(PI()*(B5/10)^2)/4</f>
        <v>0.22195352097611887</v>
      </c>
      <c r="D5" s="7">
        <f aca="true" t="shared" si="0" ref="D5:D27">(PI()*(B5/10)^2)/4</f>
        <v>0.2827433388230814</v>
      </c>
      <c r="E5" s="7">
        <f>(PI()*((B5)/10)^3)/16</f>
        <v>0.042411500823462206</v>
      </c>
      <c r="F5" s="8">
        <f>PI()*(B5/10)*100</f>
        <v>188.49555921538757</v>
      </c>
    </row>
    <row r="6" spans="2:6" ht="15" customHeight="1">
      <c r="B6" s="67">
        <v>8</v>
      </c>
      <c r="C6" s="7">
        <f aca="true" t="shared" si="1" ref="C6:C27">($B$4/10)*(PI()*(B6/10)^2)/4</f>
        <v>0.394584037290878</v>
      </c>
      <c r="D6" s="7">
        <f t="shared" si="0"/>
        <v>0.5026548245743669</v>
      </c>
      <c r="E6" s="7">
        <f>(PI()*((B6/2)/10)^3)/4</f>
        <v>0.0502654824574367</v>
      </c>
      <c r="F6" s="8">
        <f aca="true" t="shared" si="2" ref="F6:F26">PI()*(B6/10)*100</f>
        <v>251.32741228718345</v>
      </c>
    </row>
    <row r="7" spans="2:6" ht="15" customHeight="1">
      <c r="B7" s="67">
        <v>10</v>
      </c>
      <c r="C7" s="7">
        <f t="shared" si="1"/>
        <v>0.6165375582669969</v>
      </c>
      <c r="D7" s="7">
        <f t="shared" si="0"/>
        <v>0.7853981633974483</v>
      </c>
      <c r="E7" s="7">
        <f>(PI()*((B7/2)/10)^3)/4</f>
        <v>0.09817477042468103</v>
      </c>
      <c r="F7" s="8">
        <f t="shared" si="2"/>
        <v>314.1592653589793</v>
      </c>
    </row>
    <row r="8" spans="2:6" ht="15" customHeight="1">
      <c r="B8" s="67">
        <v>12</v>
      </c>
      <c r="C8" s="7">
        <f t="shared" si="1"/>
        <v>0.8878140839044755</v>
      </c>
      <c r="D8" s="7">
        <f t="shared" si="0"/>
        <v>1.1309733552923256</v>
      </c>
      <c r="E8" s="7">
        <f aca="true" t="shared" si="3" ref="E8:E27">(PI()*((B8/2)/10)^3)/4</f>
        <v>0.16964600329384882</v>
      </c>
      <c r="F8" s="8">
        <f t="shared" si="2"/>
        <v>376.99111843077515</v>
      </c>
    </row>
    <row r="9" spans="2:6" ht="15" customHeight="1">
      <c r="B9" s="67">
        <v>14</v>
      </c>
      <c r="C9" s="7">
        <f t="shared" si="1"/>
        <v>1.2084136142033135</v>
      </c>
      <c r="D9" s="7">
        <f t="shared" si="0"/>
        <v>1.5393804002589984</v>
      </c>
      <c r="E9" s="7">
        <f t="shared" si="3"/>
        <v>0.2693915700453247</v>
      </c>
      <c r="F9" s="8">
        <f t="shared" si="2"/>
        <v>439.822971502571</v>
      </c>
    </row>
    <row r="10" spans="2:9" ht="15" customHeight="1">
      <c r="B10" s="67">
        <v>16</v>
      </c>
      <c r="C10" s="7">
        <f t="shared" si="1"/>
        <v>1.578336149163512</v>
      </c>
      <c r="D10" s="7">
        <f t="shared" si="0"/>
        <v>2.0106192982974678</v>
      </c>
      <c r="E10" s="7">
        <f t="shared" si="3"/>
        <v>0.4021238596594936</v>
      </c>
      <c r="F10" s="8">
        <f t="shared" si="2"/>
        <v>502.6548245743669</v>
      </c>
      <c r="I10" s="184"/>
    </row>
    <row r="11" spans="2:6" ht="15" customHeight="1">
      <c r="B11" s="67">
        <v>18</v>
      </c>
      <c r="C11" s="7">
        <f t="shared" si="1"/>
        <v>1.99758168878507</v>
      </c>
      <c r="D11" s="7">
        <f t="shared" si="0"/>
        <v>2.5446900494077327</v>
      </c>
      <c r="E11" s="7">
        <f t="shared" si="3"/>
        <v>0.5725552611167398</v>
      </c>
      <c r="F11" s="8">
        <f t="shared" si="2"/>
        <v>565.4866776461628</v>
      </c>
    </row>
    <row r="12" spans="2:6" ht="15" customHeight="1">
      <c r="B12" s="67">
        <v>20</v>
      </c>
      <c r="C12" s="7">
        <f t="shared" si="1"/>
        <v>2.4661502330679874</v>
      </c>
      <c r="D12" s="7">
        <f t="shared" si="0"/>
        <v>3.141592653589793</v>
      </c>
      <c r="E12" s="7">
        <f t="shared" si="3"/>
        <v>0.7853981633974483</v>
      </c>
      <c r="F12" s="8">
        <f t="shared" si="2"/>
        <v>628.3185307179587</v>
      </c>
    </row>
    <row r="13" spans="2:6" ht="15" customHeight="1">
      <c r="B13" s="67">
        <v>22</v>
      </c>
      <c r="C13" s="7">
        <f t="shared" si="1"/>
        <v>2.984041782012265</v>
      </c>
      <c r="D13" s="7">
        <f t="shared" si="0"/>
        <v>3.8013271108436504</v>
      </c>
      <c r="E13" s="7">
        <f t="shared" si="3"/>
        <v>1.045364955482004</v>
      </c>
      <c r="F13" s="8">
        <f t="shared" si="2"/>
        <v>691.1503837897545</v>
      </c>
    </row>
    <row r="14" spans="2:6" ht="15" customHeight="1">
      <c r="B14" s="67">
        <v>24</v>
      </c>
      <c r="C14" s="7">
        <f t="shared" si="1"/>
        <v>3.551256335617902</v>
      </c>
      <c r="D14" s="7">
        <f t="shared" si="0"/>
        <v>4.523893421169302</v>
      </c>
      <c r="E14" s="7">
        <f t="shared" si="3"/>
        <v>1.3571680263507906</v>
      </c>
      <c r="F14" s="8">
        <f t="shared" si="2"/>
        <v>753.9822368615503</v>
      </c>
    </row>
    <row r="15" spans="2:6" ht="15" customHeight="1">
      <c r="B15" s="67">
        <v>26</v>
      </c>
      <c r="C15" s="7">
        <f t="shared" si="1"/>
        <v>4.167793893884899</v>
      </c>
      <c r="D15" s="7">
        <f t="shared" si="0"/>
        <v>5.3092915845667505</v>
      </c>
      <c r="E15" s="7">
        <f t="shared" si="3"/>
        <v>1.7255197649841942</v>
      </c>
      <c r="F15" s="8">
        <f t="shared" si="2"/>
        <v>816.8140899333462</v>
      </c>
    </row>
    <row r="16" spans="2:6" ht="15" customHeight="1">
      <c r="B16" s="67">
        <v>28</v>
      </c>
      <c r="C16" s="7">
        <f t="shared" si="1"/>
        <v>4.833654456813254</v>
      </c>
      <c r="D16" s="7">
        <f t="shared" si="0"/>
        <v>6.157521601035993</v>
      </c>
      <c r="E16" s="7">
        <f t="shared" si="3"/>
        <v>2.1551325603625977</v>
      </c>
      <c r="F16" s="8">
        <f t="shared" si="2"/>
        <v>879.645943005142</v>
      </c>
    </row>
    <row r="17" spans="2:6" ht="15" customHeight="1">
      <c r="B17" s="67">
        <v>30</v>
      </c>
      <c r="C17" s="7">
        <f t="shared" si="1"/>
        <v>5.548838024402971</v>
      </c>
      <c r="D17" s="7">
        <f t="shared" si="0"/>
        <v>7.0685834705770345</v>
      </c>
      <c r="E17" s="7">
        <f t="shared" si="3"/>
        <v>2.650718801466388</v>
      </c>
      <c r="F17" s="8">
        <f t="shared" si="2"/>
        <v>942.4777960769379</v>
      </c>
    </row>
    <row r="18" spans="2:6" ht="15" customHeight="1">
      <c r="B18" s="67">
        <v>32</v>
      </c>
      <c r="C18" s="7">
        <f t="shared" si="1"/>
        <v>6.313344596654048</v>
      </c>
      <c r="D18" s="7">
        <f t="shared" si="0"/>
        <v>8.042477193189871</v>
      </c>
      <c r="E18" s="7">
        <f t="shared" si="3"/>
        <v>3.216990877275949</v>
      </c>
      <c r="F18" s="8">
        <f t="shared" si="2"/>
        <v>1005.3096491487338</v>
      </c>
    </row>
    <row r="19" spans="2:6" ht="15" customHeight="1">
      <c r="B19" s="67">
        <v>34</v>
      </c>
      <c r="C19" s="7">
        <f t="shared" si="1"/>
        <v>7.127174173566482</v>
      </c>
      <c r="D19" s="7">
        <f t="shared" si="0"/>
        <v>9.0792027688745</v>
      </c>
      <c r="E19" s="7">
        <f t="shared" si="3"/>
        <v>3.8586611767716628</v>
      </c>
      <c r="F19" s="8">
        <f t="shared" si="2"/>
        <v>1068.1415022205297</v>
      </c>
    </row>
    <row r="20" spans="2:6" ht="15" customHeight="1">
      <c r="B20" s="67">
        <v>36</v>
      </c>
      <c r="C20" s="7">
        <f t="shared" si="1"/>
        <v>7.99032675514028</v>
      </c>
      <c r="D20" s="7">
        <f t="shared" si="0"/>
        <v>10.17876019763093</v>
      </c>
      <c r="E20" s="7">
        <f t="shared" si="3"/>
        <v>4.580442088933919</v>
      </c>
      <c r="F20" s="8">
        <f t="shared" si="2"/>
        <v>1130.9733552923256</v>
      </c>
    </row>
    <row r="21" spans="2:6" ht="15" customHeight="1">
      <c r="B21" s="67">
        <v>38</v>
      </c>
      <c r="C21" s="7">
        <f t="shared" si="1"/>
        <v>8.902802341375434</v>
      </c>
      <c r="D21" s="7">
        <f t="shared" si="0"/>
        <v>11.341149479459153</v>
      </c>
      <c r="E21" s="7">
        <f t="shared" si="3"/>
        <v>5.387046002743097</v>
      </c>
      <c r="F21" s="8">
        <f t="shared" si="2"/>
        <v>1193.8052083641214</v>
      </c>
    </row>
    <row r="22" spans="2:6" ht="15" customHeight="1">
      <c r="B22" s="67">
        <v>40</v>
      </c>
      <c r="C22" s="7">
        <f t="shared" si="1"/>
        <v>9.86460093227195</v>
      </c>
      <c r="D22" s="7">
        <f t="shared" si="0"/>
        <v>12.566370614359172</v>
      </c>
      <c r="E22" s="7">
        <f t="shared" si="3"/>
        <v>6.283185307179586</v>
      </c>
      <c r="F22" s="8">
        <f t="shared" si="2"/>
        <v>1256.6370614359173</v>
      </c>
    </row>
    <row r="23" spans="2:6" ht="15" customHeight="1">
      <c r="B23" s="67">
        <v>42</v>
      </c>
      <c r="C23" s="7">
        <f t="shared" si="1"/>
        <v>10.875722527829824</v>
      </c>
      <c r="D23" s="7">
        <f t="shared" si="0"/>
        <v>13.854423602330987</v>
      </c>
      <c r="E23" s="7">
        <f t="shared" si="3"/>
        <v>7.2735723912237695</v>
      </c>
      <c r="F23" s="8">
        <f t="shared" si="2"/>
        <v>1319.4689145077132</v>
      </c>
    </row>
    <row r="24" spans="2:6" ht="15" customHeight="1">
      <c r="B24" s="67">
        <v>44</v>
      </c>
      <c r="C24" s="7">
        <f t="shared" si="1"/>
        <v>11.93616712804906</v>
      </c>
      <c r="D24" s="7">
        <f t="shared" si="0"/>
        <v>15.205308443374602</v>
      </c>
      <c r="E24" s="7">
        <f t="shared" si="3"/>
        <v>8.362919643856031</v>
      </c>
      <c r="F24" s="8">
        <f t="shared" si="2"/>
        <v>1382.300767579509</v>
      </c>
    </row>
    <row r="25" spans="2:6" ht="15" customHeight="1">
      <c r="B25" s="67">
        <v>46</v>
      </c>
      <c r="C25" s="7">
        <f t="shared" si="1"/>
        <v>13.04593473292965</v>
      </c>
      <c r="D25" s="7">
        <f t="shared" si="0"/>
        <v>16.619025137490002</v>
      </c>
      <c r="E25" s="7">
        <f t="shared" si="3"/>
        <v>9.55593945405675</v>
      </c>
      <c r="F25" s="8">
        <f t="shared" si="2"/>
        <v>1445.1326206513047</v>
      </c>
    </row>
    <row r="26" spans="2:6" ht="15" customHeight="1">
      <c r="B26" s="67">
        <v>48</v>
      </c>
      <c r="C26" s="7">
        <f t="shared" si="1"/>
        <v>14.205025342471608</v>
      </c>
      <c r="D26" s="7">
        <f t="shared" si="0"/>
        <v>18.09557368467721</v>
      </c>
      <c r="E26" s="7">
        <f t="shared" si="3"/>
        <v>10.857344210806325</v>
      </c>
      <c r="F26" s="8">
        <f t="shared" si="2"/>
        <v>1507.9644737231006</v>
      </c>
    </row>
    <row r="27" spans="2:6" ht="15" customHeight="1" thickBot="1">
      <c r="B27" s="69">
        <v>50</v>
      </c>
      <c r="C27" s="10">
        <f t="shared" si="1"/>
        <v>15.413438956674922</v>
      </c>
      <c r="D27" s="10">
        <f t="shared" si="0"/>
        <v>19.634954084936208</v>
      </c>
      <c r="E27" s="10">
        <f t="shared" si="3"/>
        <v>12.271846303085129</v>
      </c>
      <c r="F27" s="11">
        <f>PI()*(B27/10)*100</f>
        <v>1570.7963267948965</v>
      </c>
    </row>
    <row r="28" ht="13.5" thickTop="1"/>
  </sheetData>
  <sheetProtection/>
  <mergeCells count="1">
    <mergeCell ref="B1:F1"/>
  </mergeCells>
  <printOptions/>
  <pageMargins left="0.9448818897637796" right="0.35433070866141736" top="0.984251968503937" bottom="0.3937007874015748"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sheetPr>
    <tabColor indexed="60"/>
  </sheetPr>
  <dimension ref="B1:R46"/>
  <sheetViews>
    <sheetView showGridLines="0" zoomScalePageLayoutView="0" workbookViewId="0" topLeftCell="D1">
      <selection activeCell="L47" sqref="L47"/>
    </sheetView>
  </sheetViews>
  <sheetFormatPr defaultColWidth="9.125" defaultRowHeight="12.75"/>
  <cols>
    <col min="1" max="1" width="2.625" style="43" customWidth="1"/>
    <col min="2" max="18" width="10.625" style="43" customWidth="1"/>
    <col min="19" max="19" width="12.625" style="43" customWidth="1"/>
    <col min="20" max="16384" width="9.125" style="43" customWidth="1"/>
  </cols>
  <sheetData>
    <row r="1" spans="2:18" ht="30" customHeight="1" thickBot="1">
      <c r="B1" s="338" t="s">
        <v>552</v>
      </c>
      <c r="C1" s="338"/>
      <c r="D1" s="171"/>
      <c r="E1" s="338" t="s">
        <v>553</v>
      </c>
      <c r="F1" s="338"/>
      <c r="G1" s="171"/>
      <c r="H1" s="338" t="s">
        <v>554</v>
      </c>
      <c r="I1" s="338"/>
      <c r="J1" s="171"/>
      <c r="K1" s="338" t="s">
        <v>555</v>
      </c>
      <c r="L1" s="338"/>
      <c r="M1" s="171"/>
      <c r="N1" s="345" t="s">
        <v>556</v>
      </c>
      <c r="O1" s="345"/>
      <c r="Q1" s="345" t="s">
        <v>557</v>
      </c>
      <c r="R1" s="345"/>
    </row>
    <row r="2" spans="2:18" ht="15" customHeight="1" thickTop="1">
      <c r="B2" s="169" t="s">
        <v>549</v>
      </c>
      <c r="C2" s="63" t="s">
        <v>551</v>
      </c>
      <c r="E2" s="169" t="s">
        <v>549</v>
      </c>
      <c r="F2" s="63" t="s">
        <v>551</v>
      </c>
      <c r="H2" s="169" t="s">
        <v>549</v>
      </c>
      <c r="I2" s="63" t="s">
        <v>551</v>
      </c>
      <c r="K2" s="169" t="s">
        <v>549</v>
      </c>
      <c r="L2" s="63" t="s">
        <v>551</v>
      </c>
      <c r="N2" s="169" t="s">
        <v>549</v>
      </c>
      <c r="O2" s="63" t="s">
        <v>551</v>
      </c>
      <c r="Q2" s="169" t="s">
        <v>549</v>
      </c>
      <c r="R2" s="63" t="s">
        <v>551</v>
      </c>
    </row>
    <row r="3" spans="2:18" ht="15" customHeight="1">
      <c r="B3" s="14" t="s">
        <v>22</v>
      </c>
      <c r="C3" s="170" t="s">
        <v>321</v>
      </c>
      <c r="E3" s="14" t="s">
        <v>22</v>
      </c>
      <c r="F3" s="170" t="s">
        <v>321</v>
      </c>
      <c r="H3" s="14" t="s">
        <v>22</v>
      </c>
      <c r="I3" s="170" t="s">
        <v>321</v>
      </c>
      <c r="K3" s="14" t="s">
        <v>22</v>
      </c>
      <c r="L3" s="170" t="s">
        <v>321</v>
      </c>
      <c r="N3" s="14" t="s">
        <v>22</v>
      </c>
      <c r="O3" s="170" t="s">
        <v>321</v>
      </c>
      <c r="Q3" s="14" t="s">
        <v>22</v>
      </c>
      <c r="R3" s="170" t="s">
        <v>321</v>
      </c>
    </row>
    <row r="4" spans="2:18" ht="15" customHeight="1">
      <c r="B4" s="80">
        <v>0.5</v>
      </c>
      <c r="C4" s="102">
        <v>4.5</v>
      </c>
      <c r="E4" s="80">
        <v>1.5</v>
      </c>
      <c r="F4" s="102">
        <v>17.1</v>
      </c>
      <c r="H4" s="80">
        <v>0.5</v>
      </c>
      <c r="I4" s="102">
        <v>1.76</v>
      </c>
      <c r="K4" s="80">
        <v>0.5</v>
      </c>
      <c r="L4" s="102">
        <v>1.36</v>
      </c>
      <c r="N4" s="80">
        <v>0.5</v>
      </c>
      <c r="O4" s="102">
        <v>1.47</v>
      </c>
      <c r="Q4" s="80">
        <v>0.5</v>
      </c>
      <c r="R4" s="46">
        <v>1.638</v>
      </c>
    </row>
    <row r="5" spans="2:18" ht="15" customHeight="1">
      <c r="B5" s="80">
        <v>0.56</v>
      </c>
      <c r="C5" s="102">
        <v>5</v>
      </c>
      <c r="E5" s="80">
        <v>1.75</v>
      </c>
      <c r="F5" s="102">
        <v>20</v>
      </c>
      <c r="H5" s="80">
        <v>0.6</v>
      </c>
      <c r="I5" s="102">
        <v>2.11</v>
      </c>
      <c r="K5" s="80">
        <v>0.56</v>
      </c>
      <c r="L5" s="102">
        <v>1.51</v>
      </c>
      <c r="N5" s="80">
        <v>0.6</v>
      </c>
      <c r="O5" s="102">
        <v>1.76</v>
      </c>
      <c r="Q5" s="80">
        <v>0.6</v>
      </c>
      <c r="R5" s="46">
        <v>1.965</v>
      </c>
    </row>
    <row r="6" spans="2:18" ht="15" customHeight="1">
      <c r="B6" s="80">
        <v>0.61</v>
      </c>
      <c r="C6" s="102">
        <v>5.5</v>
      </c>
      <c r="E6" s="80">
        <v>2</v>
      </c>
      <c r="F6" s="102">
        <v>22.8</v>
      </c>
      <c r="H6" s="80">
        <v>0.7</v>
      </c>
      <c r="I6" s="102">
        <v>2.46</v>
      </c>
      <c r="K6" s="80">
        <v>0.6</v>
      </c>
      <c r="L6" s="102">
        <v>1.62</v>
      </c>
      <c r="N6" s="80">
        <v>0.7</v>
      </c>
      <c r="O6" s="102">
        <v>2.06</v>
      </c>
      <c r="Q6" s="80">
        <v>0.7</v>
      </c>
      <c r="R6" s="46">
        <v>2.293</v>
      </c>
    </row>
    <row r="7" spans="2:18" ht="15" customHeight="1">
      <c r="B7" s="80">
        <v>0.66</v>
      </c>
      <c r="C7" s="102">
        <v>6</v>
      </c>
      <c r="E7" s="80">
        <v>2.25</v>
      </c>
      <c r="F7" s="102">
        <v>25.6</v>
      </c>
      <c r="H7" s="80">
        <v>0.9</v>
      </c>
      <c r="I7" s="102">
        <v>3.16</v>
      </c>
      <c r="K7" s="80">
        <v>0.7</v>
      </c>
      <c r="L7" s="102">
        <v>1.89</v>
      </c>
      <c r="N7" s="80">
        <v>0.9</v>
      </c>
      <c r="O7" s="102">
        <v>2.65</v>
      </c>
      <c r="Q7" s="80">
        <v>0.9</v>
      </c>
      <c r="R7" s="46">
        <v>2.948</v>
      </c>
    </row>
    <row r="8" spans="2:18" ht="15" customHeight="1">
      <c r="B8" s="80">
        <v>0.72</v>
      </c>
      <c r="C8" s="102">
        <v>6.5</v>
      </c>
      <c r="E8" s="80">
        <v>2.5</v>
      </c>
      <c r="F8" s="102">
        <v>28.5</v>
      </c>
      <c r="H8" s="80">
        <v>1</v>
      </c>
      <c r="I8" s="102">
        <v>3.51</v>
      </c>
      <c r="K8" s="80">
        <v>0.9</v>
      </c>
      <c r="L8" s="102">
        <v>2.43</v>
      </c>
      <c r="N8" s="80">
        <v>1</v>
      </c>
      <c r="O8" s="102">
        <v>2.95</v>
      </c>
      <c r="Q8" s="80">
        <v>1</v>
      </c>
      <c r="R8" s="46">
        <v>3.276</v>
      </c>
    </row>
    <row r="9" spans="2:18" ht="15" customHeight="1">
      <c r="B9" s="80">
        <v>0.78</v>
      </c>
      <c r="C9" s="102">
        <v>7</v>
      </c>
      <c r="E9" s="80">
        <v>2.75</v>
      </c>
      <c r="F9" s="102">
        <v>31.13</v>
      </c>
      <c r="H9" s="80">
        <v>1.2</v>
      </c>
      <c r="I9" s="102">
        <v>4.22</v>
      </c>
      <c r="K9" s="80">
        <v>1</v>
      </c>
      <c r="L9" s="102">
        <v>2.7</v>
      </c>
      <c r="N9" s="80"/>
      <c r="O9" s="102"/>
      <c r="Q9" s="80">
        <v>1.2</v>
      </c>
      <c r="R9" s="46">
        <v>3.931</v>
      </c>
    </row>
    <row r="10" spans="2:18" ht="15" customHeight="1">
      <c r="B10" s="80">
        <v>0.83</v>
      </c>
      <c r="C10" s="102">
        <v>7.5</v>
      </c>
      <c r="E10" s="80">
        <v>3</v>
      </c>
      <c r="F10" s="102">
        <v>34.2</v>
      </c>
      <c r="H10" s="80"/>
      <c r="I10" s="102"/>
      <c r="K10" s="80">
        <v>1.2</v>
      </c>
      <c r="L10" s="102">
        <v>3.24</v>
      </c>
      <c r="N10" s="80"/>
      <c r="O10" s="102"/>
      <c r="Q10" s="80"/>
      <c r="R10" s="46"/>
    </row>
    <row r="11" spans="2:18" ht="15" customHeight="1">
      <c r="B11" s="80">
        <v>0.88</v>
      </c>
      <c r="C11" s="102">
        <v>8</v>
      </c>
      <c r="E11" s="80"/>
      <c r="F11" s="102"/>
      <c r="H11" s="80"/>
      <c r="I11" s="102"/>
      <c r="K11" s="80"/>
      <c r="L11" s="102"/>
      <c r="N11" s="80"/>
      <c r="O11" s="102"/>
      <c r="Q11" s="80"/>
      <c r="R11" s="46"/>
    </row>
    <row r="12" spans="2:18" ht="15" customHeight="1">
      <c r="B12" s="80">
        <v>0.94</v>
      </c>
      <c r="C12" s="102">
        <v>8.5</v>
      </c>
      <c r="E12" s="80"/>
      <c r="F12" s="102"/>
      <c r="H12" s="80"/>
      <c r="I12" s="102"/>
      <c r="K12" s="80"/>
      <c r="L12" s="102"/>
      <c r="N12" s="80"/>
      <c r="O12" s="102"/>
      <c r="Q12" s="80"/>
      <c r="R12" s="46"/>
    </row>
    <row r="13" spans="2:18" ht="15" customHeight="1">
      <c r="B13" s="80">
        <v>1</v>
      </c>
      <c r="C13" s="102">
        <v>9</v>
      </c>
      <c r="E13" s="80"/>
      <c r="F13" s="102"/>
      <c r="H13" s="80"/>
      <c r="I13" s="102"/>
      <c r="K13" s="80"/>
      <c r="L13" s="102"/>
      <c r="N13" s="80"/>
      <c r="O13" s="102"/>
      <c r="Q13" s="80"/>
      <c r="R13" s="46"/>
    </row>
    <row r="14" spans="2:18" ht="15" customHeight="1" thickBot="1">
      <c r="B14" s="81"/>
      <c r="C14" s="104"/>
      <c r="E14" s="81"/>
      <c r="F14" s="104"/>
      <c r="H14" s="81"/>
      <c r="I14" s="104"/>
      <c r="K14" s="81"/>
      <c r="L14" s="104"/>
      <c r="N14" s="81"/>
      <c r="O14" s="104"/>
      <c r="Q14" s="81"/>
      <c r="R14" s="73"/>
    </row>
    <row r="15" spans="2:7" ht="15" customHeight="1" thickTop="1">
      <c r="B15" s="86"/>
      <c r="C15" s="86"/>
      <c r="D15" s="86"/>
      <c r="E15" s="86"/>
      <c r="F15" s="86"/>
      <c r="G15" s="86"/>
    </row>
    <row r="16" spans="2:9" ht="15" customHeight="1" thickBot="1">
      <c r="B16" s="338" t="s">
        <v>547</v>
      </c>
      <c r="C16" s="338"/>
      <c r="D16" s="338"/>
      <c r="E16" s="172"/>
      <c r="F16" s="339" t="s">
        <v>558</v>
      </c>
      <c r="G16" s="339"/>
      <c r="H16" s="339"/>
      <c r="I16" s="339"/>
    </row>
    <row r="17" spans="2:9" ht="15" customHeight="1" thickTop="1">
      <c r="B17" s="346" t="s">
        <v>548</v>
      </c>
      <c r="C17" s="59" t="s">
        <v>549</v>
      </c>
      <c r="D17" s="63" t="s">
        <v>551</v>
      </c>
      <c r="E17" s="86"/>
      <c r="F17" s="169" t="s">
        <v>549</v>
      </c>
      <c r="G17" s="59" t="s">
        <v>551</v>
      </c>
      <c r="H17" s="169" t="s">
        <v>549</v>
      </c>
      <c r="I17" s="63" t="s">
        <v>551</v>
      </c>
    </row>
    <row r="18" spans="2:9" ht="15" customHeight="1">
      <c r="B18" s="288"/>
      <c r="C18" s="65" t="s">
        <v>550</v>
      </c>
      <c r="D18" s="170" t="s">
        <v>321</v>
      </c>
      <c r="E18" s="86"/>
      <c r="F18" s="14" t="s">
        <v>559</v>
      </c>
      <c r="G18" s="65" t="s">
        <v>321</v>
      </c>
      <c r="H18" s="14" t="s">
        <v>559</v>
      </c>
      <c r="I18" s="170" t="s">
        <v>321</v>
      </c>
    </row>
    <row r="19" spans="2:9" ht="15" customHeight="1">
      <c r="B19" s="14">
        <v>10</v>
      </c>
      <c r="C19" s="40">
        <v>0.5</v>
      </c>
      <c r="D19" s="102">
        <f>C19*7.17</f>
        <v>3.585</v>
      </c>
      <c r="E19" s="86"/>
      <c r="F19" s="80">
        <v>0.5</v>
      </c>
      <c r="G19" s="40">
        <f>F19*7.85</f>
        <v>3.925</v>
      </c>
      <c r="H19" s="80">
        <v>3.5</v>
      </c>
      <c r="I19" s="102">
        <f>H19*7.85</f>
        <v>27.474999999999998</v>
      </c>
    </row>
    <row r="20" spans="2:9" ht="15" customHeight="1">
      <c r="B20" s="14">
        <v>11</v>
      </c>
      <c r="C20" s="40">
        <v>0.58</v>
      </c>
      <c r="D20" s="102">
        <f>C20*7.17</f>
        <v>4.1586</v>
      </c>
      <c r="E20" s="86"/>
      <c r="F20" s="80">
        <v>0.6</v>
      </c>
      <c r="G20" s="40">
        <f aca="true" t="shared" si="0" ref="G20:G29">F20*7.85</f>
        <v>4.71</v>
      </c>
      <c r="H20" s="80">
        <v>4</v>
      </c>
      <c r="I20" s="102">
        <f aca="true" t="shared" si="1" ref="I20:I29">H20*7.85</f>
        <v>31.4</v>
      </c>
    </row>
    <row r="21" spans="2:9" ht="15" customHeight="1">
      <c r="B21" s="14">
        <v>12</v>
      </c>
      <c r="C21" s="40">
        <v>0.66</v>
      </c>
      <c r="D21" s="102">
        <f aca="true" t="shared" si="2" ref="D21:D29">C21*7</f>
        <v>4.62</v>
      </c>
      <c r="E21" s="86"/>
      <c r="F21" s="80">
        <v>0.7</v>
      </c>
      <c r="G21" s="40">
        <f t="shared" si="0"/>
        <v>5.494999999999999</v>
      </c>
      <c r="H21" s="80">
        <v>5</v>
      </c>
      <c r="I21" s="102">
        <f t="shared" si="1"/>
        <v>39.25</v>
      </c>
    </row>
    <row r="22" spans="2:9" ht="15" customHeight="1">
      <c r="B22" s="14">
        <v>13</v>
      </c>
      <c r="C22" s="40">
        <v>0.74</v>
      </c>
      <c r="D22" s="102">
        <f t="shared" si="2"/>
        <v>5.18</v>
      </c>
      <c r="E22" s="86"/>
      <c r="F22" s="80">
        <v>0.75</v>
      </c>
      <c r="G22" s="40">
        <f t="shared" si="0"/>
        <v>5.887499999999999</v>
      </c>
      <c r="H22" s="80">
        <v>6</v>
      </c>
      <c r="I22" s="102">
        <f t="shared" si="1"/>
        <v>47.099999999999994</v>
      </c>
    </row>
    <row r="23" spans="2:9" ht="15" customHeight="1">
      <c r="B23" s="14">
        <v>14</v>
      </c>
      <c r="C23" s="40">
        <v>0.82</v>
      </c>
      <c r="D23" s="102">
        <f t="shared" si="2"/>
        <v>5.739999999999999</v>
      </c>
      <c r="F23" s="80">
        <v>0.9</v>
      </c>
      <c r="G23" s="40">
        <f t="shared" si="0"/>
        <v>7.0649999999999995</v>
      </c>
      <c r="H23" s="80">
        <v>7</v>
      </c>
      <c r="I23" s="102">
        <f t="shared" si="1"/>
        <v>54.949999999999996</v>
      </c>
    </row>
    <row r="24" spans="2:9" ht="15" customHeight="1">
      <c r="B24" s="14">
        <v>15</v>
      </c>
      <c r="C24" s="40">
        <v>0.95</v>
      </c>
      <c r="D24" s="102">
        <f t="shared" si="2"/>
        <v>6.6499999999999995</v>
      </c>
      <c r="F24" s="80">
        <v>1</v>
      </c>
      <c r="G24" s="40">
        <f t="shared" si="0"/>
        <v>7.85</v>
      </c>
      <c r="H24" s="80">
        <v>8</v>
      </c>
      <c r="I24" s="102">
        <f t="shared" si="1"/>
        <v>62.8</v>
      </c>
    </row>
    <row r="25" spans="2:9" ht="15" customHeight="1">
      <c r="B25" s="14">
        <v>16</v>
      </c>
      <c r="C25" s="40">
        <v>1.08</v>
      </c>
      <c r="D25" s="102">
        <f t="shared" si="2"/>
        <v>7.5600000000000005</v>
      </c>
      <c r="F25" s="80">
        <v>1.2</v>
      </c>
      <c r="G25" s="40">
        <f t="shared" si="0"/>
        <v>9.42</v>
      </c>
      <c r="H25" s="80">
        <v>9</v>
      </c>
      <c r="I25" s="102">
        <f t="shared" si="1"/>
        <v>70.64999999999999</v>
      </c>
    </row>
    <row r="26" spans="2:9" ht="15" customHeight="1">
      <c r="B26" s="14">
        <v>17</v>
      </c>
      <c r="C26" s="40">
        <v>1.21</v>
      </c>
      <c r="D26" s="102">
        <f t="shared" si="2"/>
        <v>8.469999999999999</v>
      </c>
      <c r="F26" s="80">
        <v>1.5</v>
      </c>
      <c r="G26" s="40">
        <f t="shared" si="0"/>
        <v>11.774999999999999</v>
      </c>
      <c r="H26" s="80">
        <v>10</v>
      </c>
      <c r="I26" s="102">
        <f t="shared" si="1"/>
        <v>78.5</v>
      </c>
    </row>
    <row r="27" spans="2:9" ht="15" customHeight="1">
      <c r="B27" s="14">
        <v>18</v>
      </c>
      <c r="C27" s="40">
        <v>1.34</v>
      </c>
      <c r="D27" s="102">
        <f t="shared" si="2"/>
        <v>9.38</v>
      </c>
      <c r="F27" s="80">
        <v>2</v>
      </c>
      <c r="G27" s="40">
        <f t="shared" si="0"/>
        <v>15.7</v>
      </c>
      <c r="H27" s="80">
        <v>12</v>
      </c>
      <c r="I27" s="102">
        <f t="shared" si="1"/>
        <v>94.19999999999999</v>
      </c>
    </row>
    <row r="28" spans="2:9" ht="15" customHeight="1">
      <c r="B28" s="14">
        <v>19</v>
      </c>
      <c r="C28" s="40">
        <v>1.47</v>
      </c>
      <c r="D28" s="102">
        <f t="shared" si="2"/>
        <v>10.29</v>
      </c>
      <c r="F28" s="80">
        <v>2.5</v>
      </c>
      <c r="G28" s="40">
        <f t="shared" si="0"/>
        <v>19.625</v>
      </c>
      <c r="H28" s="80">
        <v>15</v>
      </c>
      <c r="I28" s="102">
        <f t="shared" si="1"/>
        <v>117.75</v>
      </c>
    </row>
    <row r="29" spans="2:9" ht="15" customHeight="1" thickBot="1">
      <c r="B29" s="58">
        <v>20</v>
      </c>
      <c r="C29" s="42">
        <v>1.6</v>
      </c>
      <c r="D29" s="104">
        <f t="shared" si="2"/>
        <v>11.200000000000001</v>
      </c>
      <c r="F29" s="81">
        <v>3</v>
      </c>
      <c r="G29" s="42">
        <f t="shared" si="0"/>
        <v>23.549999999999997</v>
      </c>
      <c r="H29" s="81">
        <v>20</v>
      </c>
      <c r="I29" s="104">
        <f t="shared" si="1"/>
        <v>157</v>
      </c>
    </row>
    <row r="30" ht="15" customHeight="1" thickTop="1"/>
    <row r="31" spans="2:17" ht="15" customHeight="1" thickBot="1">
      <c r="B31" s="323" t="s">
        <v>560</v>
      </c>
      <c r="C31" s="323"/>
      <c r="D31" s="323"/>
      <c r="E31" s="323"/>
      <c r="F31" s="323"/>
      <c r="G31" s="323"/>
      <c r="H31" s="323"/>
      <c r="I31" s="126"/>
      <c r="K31" s="323" t="s">
        <v>568</v>
      </c>
      <c r="L31" s="323"/>
      <c r="M31" s="323"/>
      <c r="N31" s="323"/>
      <c r="O31" s="323"/>
      <c r="P31" s="323"/>
      <c r="Q31" s="323"/>
    </row>
    <row r="32" spans="2:18" ht="30" customHeight="1" thickTop="1">
      <c r="B32" s="337" t="s">
        <v>577</v>
      </c>
      <c r="C32" s="336"/>
      <c r="D32" s="336" t="s">
        <v>571</v>
      </c>
      <c r="E32" s="336"/>
      <c r="F32" s="336" t="s">
        <v>572</v>
      </c>
      <c r="G32" s="336"/>
      <c r="H32" s="177" t="s">
        <v>573</v>
      </c>
      <c r="I32" s="276"/>
      <c r="J32" s="174"/>
      <c r="K32" s="337" t="s">
        <v>576</v>
      </c>
      <c r="L32" s="336"/>
      <c r="M32" s="167" t="s">
        <v>569</v>
      </c>
      <c r="N32" s="167" t="s">
        <v>574</v>
      </c>
      <c r="O32" s="332" t="s">
        <v>572</v>
      </c>
      <c r="P32" s="333"/>
      <c r="Q32" s="167" t="s">
        <v>575</v>
      </c>
      <c r="R32" s="177" t="s">
        <v>573</v>
      </c>
    </row>
    <row r="33" spans="2:18" ht="15" customHeight="1">
      <c r="B33" s="344" t="s">
        <v>570</v>
      </c>
      <c r="C33" s="329"/>
      <c r="D33" s="328" t="s">
        <v>22</v>
      </c>
      <c r="E33" s="329"/>
      <c r="F33" s="328" t="s">
        <v>22</v>
      </c>
      <c r="G33" s="329"/>
      <c r="H33" s="176" t="s">
        <v>548</v>
      </c>
      <c r="I33" s="276"/>
      <c r="J33" s="174"/>
      <c r="K33" s="330" t="s">
        <v>570</v>
      </c>
      <c r="L33" s="331"/>
      <c r="M33" s="65" t="s">
        <v>570</v>
      </c>
      <c r="N33" s="65" t="s">
        <v>22</v>
      </c>
      <c r="O33" s="334" t="s">
        <v>22</v>
      </c>
      <c r="P33" s="335"/>
      <c r="Q33" s="65" t="s">
        <v>322</v>
      </c>
      <c r="R33" s="178" t="s">
        <v>548</v>
      </c>
    </row>
    <row r="34" spans="2:18" ht="15" customHeight="1">
      <c r="B34" s="341" t="s">
        <v>561</v>
      </c>
      <c r="C34" s="340"/>
      <c r="D34" s="340">
        <v>150</v>
      </c>
      <c r="E34" s="340"/>
      <c r="F34" s="340">
        <v>550</v>
      </c>
      <c r="G34" s="340"/>
      <c r="H34" s="85">
        <v>12</v>
      </c>
      <c r="I34" s="175"/>
      <c r="J34" s="175"/>
      <c r="K34" s="341" t="s">
        <v>561</v>
      </c>
      <c r="L34" s="340"/>
      <c r="M34" s="36">
        <v>250</v>
      </c>
      <c r="N34" s="36">
        <v>240</v>
      </c>
      <c r="O34" s="324">
        <v>500</v>
      </c>
      <c r="P34" s="325"/>
      <c r="Q34" s="36">
        <v>4</v>
      </c>
      <c r="R34" s="85">
        <v>14</v>
      </c>
    </row>
    <row r="35" spans="2:18" ht="15" customHeight="1">
      <c r="B35" s="341" t="s">
        <v>562</v>
      </c>
      <c r="C35" s="340"/>
      <c r="D35" s="340">
        <v>125</v>
      </c>
      <c r="E35" s="340"/>
      <c r="F35" s="340">
        <v>500</v>
      </c>
      <c r="G35" s="340"/>
      <c r="H35" s="85" t="s">
        <v>567</v>
      </c>
      <c r="I35" s="175"/>
      <c r="J35" s="175"/>
      <c r="K35" s="341" t="s">
        <v>562</v>
      </c>
      <c r="L35" s="340"/>
      <c r="M35" s="36">
        <v>150</v>
      </c>
      <c r="N35" s="36">
        <v>185</v>
      </c>
      <c r="O35" s="324">
        <v>400</v>
      </c>
      <c r="P35" s="325"/>
      <c r="Q35" s="36">
        <v>5</v>
      </c>
      <c r="R35" s="85">
        <v>12</v>
      </c>
    </row>
    <row r="36" spans="2:18" ht="15" customHeight="1">
      <c r="B36" s="341" t="s">
        <v>563</v>
      </c>
      <c r="C36" s="340"/>
      <c r="D36" s="340">
        <v>100</v>
      </c>
      <c r="E36" s="340"/>
      <c r="F36" s="340">
        <v>400</v>
      </c>
      <c r="G36" s="340"/>
      <c r="H36" s="85" t="s">
        <v>567</v>
      </c>
      <c r="I36" s="175"/>
      <c r="J36" s="175"/>
      <c r="K36" s="341" t="s">
        <v>563</v>
      </c>
      <c r="L36" s="340"/>
      <c r="M36" s="36">
        <v>120</v>
      </c>
      <c r="N36" s="36">
        <v>155</v>
      </c>
      <c r="O36" s="324">
        <v>333</v>
      </c>
      <c r="P36" s="325"/>
      <c r="Q36" s="36">
        <v>6</v>
      </c>
      <c r="R36" s="85">
        <v>12</v>
      </c>
    </row>
    <row r="37" spans="2:18" ht="15" customHeight="1">
      <c r="B37" s="341" t="s">
        <v>564</v>
      </c>
      <c r="C37" s="340"/>
      <c r="D37" s="340">
        <v>80</v>
      </c>
      <c r="E37" s="340"/>
      <c r="F37" s="340">
        <v>333</v>
      </c>
      <c r="G37" s="340"/>
      <c r="H37" s="85">
        <v>10</v>
      </c>
      <c r="I37" s="175"/>
      <c r="J37" s="175"/>
      <c r="K37" s="341" t="s">
        <v>564</v>
      </c>
      <c r="L37" s="340"/>
      <c r="M37" s="36">
        <v>80</v>
      </c>
      <c r="N37" s="36">
        <v>130</v>
      </c>
      <c r="O37" s="324">
        <v>285</v>
      </c>
      <c r="P37" s="325"/>
      <c r="Q37" s="36">
        <v>7</v>
      </c>
      <c r="R37" s="85">
        <v>12</v>
      </c>
    </row>
    <row r="38" spans="2:18" ht="15" customHeight="1">
      <c r="B38" s="341" t="s">
        <v>565</v>
      </c>
      <c r="C38" s="340"/>
      <c r="D38" s="340">
        <v>75</v>
      </c>
      <c r="E38" s="340"/>
      <c r="F38" s="340">
        <v>285</v>
      </c>
      <c r="G38" s="340"/>
      <c r="H38" s="85">
        <v>10</v>
      </c>
      <c r="I38" s="175"/>
      <c r="J38" s="175"/>
      <c r="K38" s="341" t="s">
        <v>565</v>
      </c>
      <c r="L38" s="340"/>
      <c r="M38" s="36">
        <v>60</v>
      </c>
      <c r="N38" s="36">
        <v>110</v>
      </c>
      <c r="O38" s="324">
        <v>250</v>
      </c>
      <c r="P38" s="325"/>
      <c r="Q38" s="36">
        <v>8</v>
      </c>
      <c r="R38" s="85">
        <v>12</v>
      </c>
    </row>
    <row r="39" spans="2:18" ht="15" customHeight="1" thickBot="1">
      <c r="B39" s="342" t="s">
        <v>566</v>
      </c>
      <c r="C39" s="343"/>
      <c r="D39" s="343">
        <v>70</v>
      </c>
      <c r="E39" s="343"/>
      <c r="F39" s="343">
        <v>200</v>
      </c>
      <c r="G39" s="343"/>
      <c r="H39" s="173">
        <v>10</v>
      </c>
      <c r="I39" s="175"/>
      <c r="J39" s="175"/>
      <c r="K39" s="342" t="s">
        <v>566</v>
      </c>
      <c r="L39" s="343"/>
      <c r="M39" s="39">
        <v>45</v>
      </c>
      <c r="N39" s="39">
        <v>90</v>
      </c>
      <c r="O39" s="326">
        <v>200</v>
      </c>
      <c r="P39" s="327"/>
      <c r="Q39" s="39">
        <v>10</v>
      </c>
      <c r="R39" s="173">
        <v>12</v>
      </c>
    </row>
    <row r="40" spans="2:13" ht="15" customHeight="1" thickTop="1">
      <c r="B40" s="168"/>
      <c r="C40" s="168"/>
      <c r="D40" s="168"/>
      <c r="E40" s="168"/>
      <c r="F40" s="168"/>
      <c r="G40" s="168"/>
      <c r="H40" s="168"/>
      <c r="I40" s="168"/>
      <c r="J40" s="168"/>
      <c r="K40" s="168"/>
      <c r="L40" s="168"/>
      <c r="M40" s="168"/>
    </row>
    <row r="41" spans="2:13" ht="15" customHeight="1">
      <c r="B41" s="168"/>
      <c r="C41" s="168"/>
      <c r="D41" s="168"/>
      <c r="E41" s="168"/>
      <c r="F41" s="168"/>
      <c r="G41" s="168"/>
      <c r="H41" s="168"/>
      <c r="I41" s="168"/>
      <c r="J41" s="168"/>
      <c r="K41" s="168"/>
      <c r="L41" s="168"/>
      <c r="M41" s="168"/>
    </row>
    <row r="42" spans="2:13" ht="15" customHeight="1">
      <c r="B42" s="168"/>
      <c r="C42" s="168"/>
      <c r="D42" s="168"/>
      <c r="E42" s="168"/>
      <c r="F42" s="168"/>
      <c r="G42" s="168"/>
      <c r="H42" s="168"/>
      <c r="I42" s="168"/>
      <c r="J42" s="168"/>
      <c r="K42" s="168"/>
      <c r="L42" s="168"/>
      <c r="M42" s="168"/>
    </row>
    <row r="43" spans="2:13" ht="15" customHeight="1">
      <c r="B43" s="168"/>
      <c r="C43" s="168"/>
      <c r="D43" s="168"/>
      <c r="E43" s="168"/>
      <c r="F43" s="168"/>
      <c r="G43" s="168"/>
      <c r="H43" s="168"/>
      <c r="I43" s="168"/>
      <c r="J43" s="168"/>
      <c r="K43" s="168"/>
      <c r="L43" s="168"/>
      <c r="M43" s="168"/>
    </row>
    <row r="44" spans="2:13" ht="15" customHeight="1">
      <c r="B44" s="168"/>
      <c r="C44" s="168"/>
      <c r="D44" s="168"/>
      <c r="E44" s="168"/>
      <c r="F44" s="168"/>
      <c r="G44" s="168"/>
      <c r="H44" s="168"/>
      <c r="I44" s="168"/>
      <c r="J44" s="168"/>
      <c r="K44" s="168"/>
      <c r="L44" s="168"/>
      <c r="M44" s="168"/>
    </row>
    <row r="45" spans="2:13" ht="15" customHeight="1">
      <c r="B45" s="168"/>
      <c r="C45" s="168"/>
      <c r="D45" s="168"/>
      <c r="E45" s="168"/>
      <c r="F45" s="168"/>
      <c r="G45" s="168"/>
      <c r="H45" s="168"/>
      <c r="I45" s="168"/>
      <c r="J45" s="168"/>
      <c r="K45" s="168"/>
      <c r="L45" s="168"/>
      <c r="M45" s="168"/>
    </row>
    <row r="46" spans="2:13" ht="15" customHeight="1">
      <c r="B46" s="168"/>
      <c r="C46" s="168"/>
      <c r="D46" s="168"/>
      <c r="E46" s="168"/>
      <c r="F46" s="168"/>
      <c r="G46" s="168"/>
      <c r="H46" s="168"/>
      <c r="I46" s="168"/>
      <c r="J46" s="168"/>
      <c r="K46" s="168"/>
      <c r="L46" s="168"/>
      <c r="M46" s="168"/>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51">
    <mergeCell ref="K38:L38"/>
    <mergeCell ref="K39:L39"/>
    <mergeCell ref="Q1:R1"/>
    <mergeCell ref="B17:B18"/>
    <mergeCell ref="H1:I1"/>
    <mergeCell ref="K1:L1"/>
    <mergeCell ref="N1:O1"/>
    <mergeCell ref="B1:C1"/>
    <mergeCell ref="E1:F1"/>
    <mergeCell ref="K34:L34"/>
    <mergeCell ref="F39:G39"/>
    <mergeCell ref="K35:L35"/>
    <mergeCell ref="K36:L36"/>
    <mergeCell ref="K37:L37"/>
    <mergeCell ref="B32:C32"/>
    <mergeCell ref="B34:C34"/>
    <mergeCell ref="B35:C35"/>
    <mergeCell ref="B36:C36"/>
    <mergeCell ref="B33:C33"/>
    <mergeCell ref="D34:E34"/>
    <mergeCell ref="F36:G36"/>
    <mergeCell ref="F37:G37"/>
    <mergeCell ref="B37:C37"/>
    <mergeCell ref="B38:C38"/>
    <mergeCell ref="B39:C39"/>
    <mergeCell ref="D38:E38"/>
    <mergeCell ref="D39:E39"/>
    <mergeCell ref="D36:E36"/>
    <mergeCell ref="D37:E37"/>
    <mergeCell ref="F38:G38"/>
    <mergeCell ref="B31:H31"/>
    <mergeCell ref="B16:D16"/>
    <mergeCell ref="F16:I16"/>
    <mergeCell ref="K31:Q31"/>
    <mergeCell ref="F34:G34"/>
    <mergeCell ref="F35:G35"/>
    <mergeCell ref="D35:E35"/>
    <mergeCell ref="D33:E33"/>
    <mergeCell ref="F33:G33"/>
    <mergeCell ref="K33:L33"/>
    <mergeCell ref="O32:P32"/>
    <mergeCell ref="O33:P33"/>
    <mergeCell ref="F32:G32"/>
    <mergeCell ref="D32:E32"/>
    <mergeCell ref="K32:L32"/>
    <mergeCell ref="O38:P38"/>
    <mergeCell ref="O39:P39"/>
    <mergeCell ref="O34:P34"/>
    <mergeCell ref="O35:P35"/>
    <mergeCell ref="O36:P36"/>
    <mergeCell ref="O37:P37"/>
  </mergeCells>
  <printOptions/>
  <pageMargins left="0.9448818897637796" right="0.35433070866141736" top="0.984251968503937" bottom="0.3937007874015748" header="0.5118110236220472" footer="0.5118110236220472"/>
  <pageSetup orientation="portrait" paperSize="9" scale="91" r:id="rId1"/>
  <colBreaks count="1" manualBreakCount="1">
    <brk id="9" max="38" man="1"/>
  </colBreaks>
</worksheet>
</file>

<file path=xl/worksheets/sheet11.xml><?xml version="1.0" encoding="utf-8"?>
<worksheet xmlns="http://schemas.openxmlformats.org/spreadsheetml/2006/main" xmlns:r="http://schemas.openxmlformats.org/officeDocument/2006/relationships">
  <sheetPr>
    <tabColor indexed="62"/>
  </sheetPr>
  <dimension ref="B1:J13"/>
  <sheetViews>
    <sheetView showGridLines="0" zoomScalePageLayoutView="0" workbookViewId="0" topLeftCell="A1">
      <selection activeCell="B1" sqref="B1:J1"/>
    </sheetView>
  </sheetViews>
  <sheetFormatPr defaultColWidth="9.00390625" defaultRowHeight="12.75"/>
  <cols>
    <col min="1" max="1" width="2.625" style="0" customWidth="1"/>
    <col min="2" max="9" width="8.625" style="0" customWidth="1"/>
  </cols>
  <sheetData>
    <row r="1" spans="2:10" ht="19.5" customHeight="1" thickTop="1">
      <c r="B1" s="277" t="s">
        <v>39</v>
      </c>
      <c r="C1" s="278"/>
      <c r="D1" s="278"/>
      <c r="E1" s="278"/>
      <c r="F1" s="278"/>
      <c r="G1" s="278"/>
      <c r="H1" s="278"/>
      <c r="I1" s="278"/>
      <c r="J1" s="279"/>
    </row>
    <row r="2" spans="2:10" ht="15" customHeight="1">
      <c r="B2" s="288" t="s">
        <v>40</v>
      </c>
      <c r="C2" s="15" t="s">
        <v>18</v>
      </c>
      <c r="D2" s="15" t="s">
        <v>17</v>
      </c>
      <c r="E2" s="15" t="s">
        <v>35</v>
      </c>
      <c r="F2" s="15" t="s">
        <v>19</v>
      </c>
      <c r="G2" s="15" t="s">
        <v>41</v>
      </c>
      <c r="H2" s="15" t="s">
        <v>21</v>
      </c>
      <c r="I2" s="15" t="s">
        <v>2</v>
      </c>
      <c r="J2" s="16" t="s">
        <v>0</v>
      </c>
    </row>
    <row r="3" spans="2:10" ht="15" customHeight="1">
      <c r="B3" s="288"/>
      <c r="C3" s="15" t="s">
        <v>22</v>
      </c>
      <c r="D3" s="15" t="s">
        <v>22</v>
      </c>
      <c r="E3" s="15" t="s">
        <v>22</v>
      </c>
      <c r="F3" s="15" t="s">
        <v>22</v>
      </c>
      <c r="G3" s="15" t="s">
        <v>22</v>
      </c>
      <c r="H3" s="15" t="s">
        <v>22</v>
      </c>
      <c r="I3" s="15" t="s">
        <v>3</v>
      </c>
      <c r="J3" s="16" t="s">
        <v>23</v>
      </c>
    </row>
    <row r="4" spans="2:10" ht="15" customHeight="1">
      <c r="B4" s="67">
        <v>110</v>
      </c>
      <c r="C4" s="2">
        <v>110</v>
      </c>
      <c r="D4" s="2">
        <v>84</v>
      </c>
      <c r="E4" s="2">
        <v>70</v>
      </c>
      <c r="F4" s="2">
        <v>14</v>
      </c>
      <c r="G4" s="2">
        <v>14</v>
      </c>
      <c r="H4" s="2">
        <v>5</v>
      </c>
      <c r="I4" s="17">
        <v>31.1</v>
      </c>
      <c r="J4" s="29">
        <v>24.5</v>
      </c>
    </row>
    <row r="5" spans="2:10" ht="15" customHeight="1" thickBot="1">
      <c r="B5" s="69">
        <v>140</v>
      </c>
      <c r="C5" s="12">
        <v>140</v>
      </c>
      <c r="D5" s="12">
        <v>110</v>
      </c>
      <c r="E5" s="12">
        <v>12</v>
      </c>
      <c r="F5" s="12">
        <v>19</v>
      </c>
      <c r="G5" s="12">
        <v>17</v>
      </c>
      <c r="H5" s="12">
        <v>8</v>
      </c>
      <c r="I5" s="18">
        <v>53</v>
      </c>
      <c r="J5" s="30">
        <v>41.6</v>
      </c>
    </row>
    <row r="6" spans="2:10" ht="15" customHeight="1" thickTop="1">
      <c r="B6" s="1"/>
      <c r="C6" s="1"/>
      <c r="D6" s="1"/>
      <c r="E6" s="1"/>
      <c r="F6" s="1"/>
      <c r="G6" s="1"/>
      <c r="H6" s="1"/>
      <c r="I6" s="1"/>
      <c r="J6" s="1"/>
    </row>
    <row r="7" spans="2:10" ht="15" customHeight="1">
      <c r="B7" s="1"/>
      <c r="C7" s="1"/>
      <c r="D7" s="1"/>
      <c r="E7" s="1"/>
      <c r="F7" s="1"/>
      <c r="G7" s="1"/>
      <c r="H7" s="1"/>
      <c r="I7" s="1"/>
      <c r="J7" s="1"/>
    </row>
    <row r="8" spans="2:10" ht="15" customHeight="1">
      <c r="B8" s="1"/>
      <c r="C8" s="1"/>
      <c r="D8" s="1"/>
      <c r="E8" s="1"/>
      <c r="F8" s="1"/>
      <c r="G8" s="1"/>
      <c r="H8" s="1"/>
      <c r="I8" s="1"/>
      <c r="J8" s="1"/>
    </row>
    <row r="9" spans="2:10" ht="15" customHeight="1">
      <c r="B9" s="1"/>
      <c r="C9" s="1"/>
      <c r="D9" s="1"/>
      <c r="E9" s="1"/>
      <c r="F9" s="1"/>
      <c r="G9" s="1"/>
      <c r="H9" s="1"/>
      <c r="I9" s="1"/>
      <c r="J9" s="1"/>
    </row>
    <row r="10" spans="2:10" ht="15" customHeight="1">
      <c r="B10" s="1"/>
      <c r="C10" s="1"/>
      <c r="D10" s="1"/>
      <c r="E10" s="1"/>
      <c r="F10" s="1"/>
      <c r="G10" s="1"/>
      <c r="H10" s="1"/>
      <c r="I10" s="1"/>
      <c r="J10" s="1"/>
    </row>
    <row r="11" spans="2:10" ht="15" customHeight="1">
      <c r="B11" s="1"/>
      <c r="C11" s="1"/>
      <c r="D11" s="1"/>
      <c r="E11" s="1"/>
      <c r="F11" s="1"/>
      <c r="G11" s="1"/>
      <c r="H11" s="1"/>
      <c r="I11" s="1"/>
      <c r="J11" s="1"/>
    </row>
    <row r="12" spans="2:10" ht="15" customHeight="1">
      <c r="B12" s="1"/>
      <c r="C12" s="1"/>
      <c r="D12" s="1"/>
      <c r="E12" s="1"/>
      <c r="F12" s="1"/>
      <c r="G12" s="1"/>
      <c r="H12" s="1"/>
      <c r="I12" s="1"/>
      <c r="J12" s="1"/>
    </row>
    <row r="13" spans="2:10" ht="15" customHeight="1">
      <c r="B13" s="1"/>
      <c r="C13" s="1"/>
      <c r="D13" s="1"/>
      <c r="E13" s="1"/>
      <c r="F13" s="1"/>
      <c r="G13" s="1"/>
      <c r="H13" s="1"/>
      <c r="I13" s="1"/>
      <c r="J13" s="1"/>
    </row>
    <row r="14" ht="15" customHeight="1"/>
    <row r="15" ht="15" customHeight="1"/>
    <row r="16" ht="15" customHeight="1"/>
    <row r="17" ht="15" customHeight="1"/>
    <row r="18" ht="15" customHeight="1"/>
    <row r="19" ht="15" customHeight="1"/>
    <row r="20" ht="15" customHeight="1"/>
  </sheetData>
  <sheetProtection/>
  <mergeCells count="2">
    <mergeCell ref="B1:J1"/>
    <mergeCell ref="B2:B3"/>
  </mergeCells>
  <printOptions/>
  <pageMargins left="0.9448818897637796" right="0.35433070866141736" top="0.984251968503937" bottom="0.3937007874015748"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B1:H15"/>
  <sheetViews>
    <sheetView showGridLines="0" zoomScalePageLayoutView="0" workbookViewId="0" topLeftCell="A1">
      <selection activeCell="B1" sqref="B1:H1"/>
    </sheetView>
  </sheetViews>
  <sheetFormatPr defaultColWidth="9.00390625" defaultRowHeight="12.75"/>
  <cols>
    <col min="1" max="1" width="2.625" style="0" customWidth="1"/>
    <col min="2" max="6" width="8.625" style="0" customWidth="1"/>
  </cols>
  <sheetData>
    <row r="1" spans="2:8" ht="19.5" customHeight="1" thickTop="1">
      <c r="B1" s="277" t="s">
        <v>32</v>
      </c>
      <c r="C1" s="278"/>
      <c r="D1" s="278"/>
      <c r="E1" s="278"/>
      <c r="F1" s="278"/>
      <c r="G1" s="278"/>
      <c r="H1" s="279"/>
    </row>
    <row r="2" spans="2:8" ht="15" customHeight="1">
      <c r="B2" s="288" t="s">
        <v>33</v>
      </c>
      <c r="C2" s="15" t="s">
        <v>18</v>
      </c>
      <c r="D2" s="15" t="s">
        <v>17</v>
      </c>
      <c r="E2" s="15" t="s">
        <v>35</v>
      </c>
      <c r="F2" s="15" t="s">
        <v>2</v>
      </c>
      <c r="G2" s="15" t="s">
        <v>0</v>
      </c>
      <c r="H2" s="16" t="s">
        <v>7</v>
      </c>
    </row>
    <row r="3" spans="2:8" ht="15" customHeight="1">
      <c r="B3" s="288"/>
      <c r="C3" s="15" t="s">
        <v>22</v>
      </c>
      <c r="D3" s="15" t="s">
        <v>22</v>
      </c>
      <c r="E3" s="15" t="s">
        <v>22</v>
      </c>
      <c r="F3" s="15" t="s">
        <v>3</v>
      </c>
      <c r="G3" s="15" t="s">
        <v>23</v>
      </c>
      <c r="H3" s="16" t="s">
        <v>24</v>
      </c>
    </row>
    <row r="4" spans="2:8" ht="15" customHeight="1">
      <c r="B4" s="67">
        <v>30</v>
      </c>
      <c r="C4" s="2">
        <v>30</v>
      </c>
      <c r="D4" s="2">
        <v>30</v>
      </c>
      <c r="E4" s="2">
        <v>4</v>
      </c>
      <c r="F4" s="2">
        <v>2.26</v>
      </c>
      <c r="G4" s="2">
        <v>1.77</v>
      </c>
      <c r="H4" s="3">
        <v>0.114</v>
      </c>
    </row>
    <row r="5" spans="2:8" ht="15" customHeight="1">
      <c r="B5" s="67">
        <v>35</v>
      </c>
      <c r="C5" s="2">
        <v>35</v>
      </c>
      <c r="D5" s="2">
        <v>35</v>
      </c>
      <c r="E5" s="2">
        <v>4.5</v>
      </c>
      <c r="F5" s="2">
        <v>2.97</v>
      </c>
      <c r="G5" s="2">
        <v>2.33</v>
      </c>
      <c r="H5" s="3">
        <v>0.133</v>
      </c>
    </row>
    <row r="6" spans="2:8" ht="15" customHeight="1">
      <c r="B6" s="67">
        <v>40</v>
      </c>
      <c r="C6" s="2">
        <v>40</v>
      </c>
      <c r="D6" s="2">
        <v>40</v>
      </c>
      <c r="E6" s="2">
        <v>5</v>
      </c>
      <c r="F6" s="2">
        <v>3.77</v>
      </c>
      <c r="G6" s="2">
        <v>2.96</v>
      </c>
      <c r="H6" s="3">
        <v>0.153</v>
      </c>
    </row>
    <row r="7" spans="2:8" ht="15" customHeight="1" thickBot="1">
      <c r="B7" s="69">
        <v>50</v>
      </c>
      <c r="C7" s="12">
        <v>50</v>
      </c>
      <c r="D7" s="12">
        <v>50</v>
      </c>
      <c r="E7" s="12">
        <v>6</v>
      </c>
      <c r="F7" s="12">
        <v>5.66</v>
      </c>
      <c r="G7" s="12">
        <v>4.44</v>
      </c>
      <c r="H7" s="13">
        <v>0.191</v>
      </c>
    </row>
    <row r="8" spans="2:8" ht="15" customHeight="1" thickTop="1">
      <c r="B8" s="1"/>
      <c r="C8" s="1"/>
      <c r="D8" s="1"/>
      <c r="E8" s="1"/>
      <c r="F8" s="1"/>
      <c r="G8" s="1"/>
      <c r="H8" s="1"/>
    </row>
    <row r="9" spans="2:8" ht="15" customHeight="1">
      <c r="B9" s="1"/>
      <c r="C9" s="1"/>
      <c r="D9" s="1"/>
      <c r="E9" s="1"/>
      <c r="F9" s="1"/>
      <c r="G9" s="1"/>
      <c r="H9" s="1"/>
    </row>
    <row r="10" spans="2:8" ht="15" customHeight="1">
      <c r="B10" s="1"/>
      <c r="C10" s="1"/>
      <c r="D10" s="1"/>
      <c r="E10" s="1"/>
      <c r="F10" s="1"/>
      <c r="G10" s="1"/>
      <c r="H10" s="1"/>
    </row>
    <row r="11" spans="2:8" ht="15" customHeight="1">
      <c r="B11" s="1"/>
      <c r="C11" s="1"/>
      <c r="D11" s="1"/>
      <c r="E11" s="1"/>
      <c r="F11" s="1"/>
      <c r="G11" s="1"/>
      <c r="H11" s="1"/>
    </row>
    <row r="12" spans="2:8" ht="15" customHeight="1">
      <c r="B12" s="1"/>
      <c r="C12" s="1"/>
      <c r="D12" s="1"/>
      <c r="E12" s="1"/>
      <c r="F12" s="1"/>
      <c r="G12" s="1"/>
      <c r="H12" s="1"/>
    </row>
    <row r="13" spans="2:8" ht="15" customHeight="1">
      <c r="B13" s="1"/>
      <c r="C13" s="1"/>
      <c r="D13" s="1"/>
      <c r="E13" s="1"/>
      <c r="F13" s="1"/>
      <c r="G13" s="1"/>
      <c r="H13" s="1"/>
    </row>
    <row r="14" spans="2:8" ht="15" customHeight="1">
      <c r="B14" s="1"/>
      <c r="C14" s="1"/>
      <c r="D14" s="1"/>
      <c r="E14" s="1"/>
      <c r="F14" s="1"/>
      <c r="G14" s="1"/>
      <c r="H14" s="1"/>
    </row>
    <row r="15" spans="2:8" ht="15" customHeight="1">
      <c r="B15" s="1"/>
      <c r="C15" s="1"/>
      <c r="D15" s="1"/>
      <c r="E15" s="1"/>
      <c r="F15" s="1"/>
      <c r="G15" s="1"/>
      <c r="H15" s="1"/>
    </row>
    <row r="16" ht="15" customHeight="1"/>
    <row r="17" ht="15" customHeight="1"/>
    <row r="18" ht="15" customHeight="1"/>
    <row r="19" ht="15" customHeight="1"/>
    <row r="20" ht="15" customHeight="1"/>
    <row r="21" ht="15" customHeight="1"/>
    <row r="22" ht="15" customHeight="1"/>
  </sheetData>
  <sheetProtection/>
  <mergeCells count="2">
    <mergeCell ref="B1:H1"/>
    <mergeCell ref="B2:B3"/>
  </mergeCells>
  <printOptions/>
  <pageMargins left="0.9448818897637796" right="0.35433070866141736" top="0.984251968503937" bottom="0.3937007874015748"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B1:H13"/>
  <sheetViews>
    <sheetView showGridLines="0" zoomScalePageLayoutView="0" workbookViewId="0" topLeftCell="A1">
      <selection activeCell="B1" sqref="B1:H1"/>
    </sheetView>
  </sheetViews>
  <sheetFormatPr defaultColWidth="9.00390625" defaultRowHeight="12.75"/>
  <cols>
    <col min="1" max="1" width="2.625" style="0" customWidth="1"/>
    <col min="2" max="7" width="8.625" style="0" customWidth="1"/>
  </cols>
  <sheetData>
    <row r="1" spans="2:8" ht="19.5" customHeight="1" thickTop="1">
      <c r="B1" s="277" t="s">
        <v>38</v>
      </c>
      <c r="C1" s="278"/>
      <c r="D1" s="278"/>
      <c r="E1" s="278"/>
      <c r="F1" s="278"/>
      <c r="G1" s="278"/>
      <c r="H1" s="279"/>
    </row>
    <row r="2" spans="2:8" ht="15" customHeight="1">
      <c r="B2" s="288" t="s">
        <v>34</v>
      </c>
      <c r="C2" s="15" t="s">
        <v>18</v>
      </c>
      <c r="D2" s="15" t="s">
        <v>17</v>
      </c>
      <c r="E2" s="15" t="s">
        <v>36</v>
      </c>
      <c r="F2" s="15" t="s">
        <v>35</v>
      </c>
      <c r="G2" s="15" t="s">
        <v>2</v>
      </c>
      <c r="H2" s="16" t="s">
        <v>0</v>
      </c>
    </row>
    <row r="3" spans="2:8" ht="15" customHeight="1">
      <c r="B3" s="288"/>
      <c r="C3" s="15" t="s">
        <v>22</v>
      </c>
      <c r="D3" s="15" t="s">
        <v>22</v>
      </c>
      <c r="E3" s="15" t="s">
        <v>22</v>
      </c>
      <c r="F3" s="15" t="s">
        <v>22</v>
      </c>
      <c r="G3" s="15" t="s">
        <v>3</v>
      </c>
      <c r="H3" s="16" t="s">
        <v>23</v>
      </c>
    </row>
    <row r="4" spans="2:8" ht="15" customHeight="1">
      <c r="B4" s="67" t="s">
        <v>37</v>
      </c>
      <c r="C4" s="2">
        <v>46</v>
      </c>
      <c r="D4" s="2">
        <v>83</v>
      </c>
      <c r="E4" s="2">
        <v>35</v>
      </c>
      <c r="F4" s="2">
        <v>5</v>
      </c>
      <c r="G4" s="2">
        <v>7.5</v>
      </c>
      <c r="H4" s="3">
        <v>5.85</v>
      </c>
    </row>
    <row r="5" spans="2:8" ht="15" customHeight="1" thickBot="1">
      <c r="B5" s="9"/>
      <c r="C5" s="12"/>
      <c r="D5" s="12"/>
      <c r="E5" s="12"/>
      <c r="F5" s="12"/>
      <c r="G5" s="12"/>
      <c r="H5" s="13"/>
    </row>
    <row r="6" spans="2:8" ht="15" customHeight="1" thickTop="1">
      <c r="B6" s="1"/>
      <c r="C6" s="1"/>
      <c r="D6" s="1"/>
      <c r="E6" s="1"/>
      <c r="F6" s="1"/>
      <c r="G6" s="1"/>
      <c r="H6" s="1"/>
    </row>
    <row r="7" spans="2:8" ht="15" customHeight="1">
      <c r="B7" s="1"/>
      <c r="C7" s="1"/>
      <c r="D7" s="1"/>
      <c r="E7" s="1"/>
      <c r="F7" s="1"/>
      <c r="G7" s="1"/>
      <c r="H7" s="1"/>
    </row>
    <row r="8" spans="2:8" ht="15" customHeight="1">
      <c r="B8" s="1"/>
      <c r="C8" s="1"/>
      <c r="D8" s="1"/>
      <c r="E8" s="1"/>
      <c r="F8" s="1"/>
      <c r="G8" s="1"/>
      <c r="H8" s="1"/>
    </row>
    <row r="9" spans="2:8" ht="15" customHeight="1">
      <c r="B9" s="1"/>
      <c r="C9" s="1"/>
      <c r="D9" s="1"/>
      <c r="E9" s="1"/>
      <c r="F9" s="1"/>
      <c r="G9" s="1"/>
      <c r="H9" s="1"/>
    </row>
    <row r="10" spans="2:8" ht="15" customHeight="1">
      <c r="B10" s="1"/>
      <c r="C10" s="1"/>
      <c r="D10" s="1"/>
      <c r="E10" s="1"/>
      <c r="F10" s="1"/>
      <c r="G10" s="1"/>
      <c r="H10" s="1"/>
    </row>
    <row r="11" spans="2:8" ht="15" customHeight="1">
      <c r="B11" s="1"/>
      <c r="C11" s="1"/>
      <c r="D11" s="1"/>
      <c r="E11" s="1"/>
      <c r="F11" s="1"/>
      <c r="G11" s="1"/>
      <c r="H11" s="1"/>
    </row>
    <row r="12" spans="2:8" ht="15" customHeight="1">
      <c r="B12" s="1"/>
      <c r="C12" s="1"/>
      <c r="D12" s="1"/>
      <c r="E12" s="1"/>
      <c r="F12" s="1"/>
      <c r="G12" s="1"/>
      <c r="H12" s="1"/>
    </row>
    <row r="13" spans="2:8" ht="15" customHeight="1">
      <c r="B13" s="1"/>
      <c r="C13" s="1"/>
      <c r="D13" s="1"/>
      <c r="E13" s="1"/>
      <c r="F13" s="1"/>
      <c r="G13" s="1"/>
      <c r="H13" s="1"/>
    </row>
    <row r="14" ht="15" customHeight="1"/>
    <row r="15" ht="15" customHeight="1"/>
    <row r="16" ht="15" customHeight="1"/>
    <row r="17" ht="15" customHeight="1"/>
    <row r="18" ht="15" customHeight="1"/>
    <row r="19" ht="15" customHeight="1"/>
    <row r="20" ht="15" customHeight="1"/>
  </sheetData>
  <sheetProtection/>
  <mergeCells count="2">
    <mergeCell ref="B1:H1"/>
    <mergeCell ref="B2:B3"/>
  </mergeCells>
  <printOptions/>
  <pageMargins left="0.9448818897637796" right="0.35433070866141736" top="0.984251968503937" bottom="0.3937007874015748" header="0.5118110236220472" footer="0.5118110236220472"/>
  <pageSetup orientation="portrait" paperSize="9" r:id="rId1"/>
</worksheet>
</file>

<file path=xl/worksheets/sheet14.xml><?xml version="1.0" encoding="utf-8"?>
<worksheet xmlns="http://schemas.openxmlformats.org/spreadsheetml/2006/main" xmlns:r="http://schemas.openxmlformats.org/officeDocument/2006/relationships">
  <sheetPr>
    <tabColor indexed="57"/>
  </sheetPr>
  <dimension ref="B1:L16"/>
  <sheetViews>
    <sheetView zoomScalePageLayoutView="0" workbookViewId="0" topLeftCell="A1">
      <selection activeCell="B1" sqref="B1:L1"/>
    </sheetView>
  </sheetViews>
  <sheetFormatPr defaultColWidth="9.00390625" defaultRowHeight="12.75"/>
  <cols>
    <col min="1" max="1" width="2.625" style="0" customWidth="1"/>
    <col min="2" max="12" width="10.625" style="0" customWidth="1"/>
  </cols>
  <sheetData>
    <row r="1" spans="2:12" ht="19.5" customHeight="1" thickBot="1">
      <c r="B1" s="351" t="s">
        <v>603</v>
      </c>
      <c r="C1" s="351"/>
      <c r="D1" s="351"/>
      <c r="E1" s="351"/>
      <c r="F1" s="351"/>
      <c r="G1" s="351"/>
      <c r="H1" s="351"/>
      <c r="I1" s="351"/>
      <c r="J1" s="351"/>
      <c r="K1" s="351"/>
      <c r="L1" s="351"/>
    </row>
    <row r="2" spans="2:12" ht="15" customHeight="1" thickTop="1">
      <c r="B2" s="347" t="s">
        <v>604</v>
      </c>
      <c r="C2" s="348"/>
      <c r="D2" s="278" t="s">
        <v>618</v>
      </c>
      <c r="E2" s="278"/>
      <c r="F2" s="278"/>
      <c r="G2" s="278" t="s">
        <v>622</v>
      </c>
      <c r="H2" s="278"/>
      <c r="I2" s="278"/>
      <c r="J2" s="278" t="s">
        <v>623</v>
      </c>
      <c r="K2" s="278"/>
      <c r="L2" s="279"/>
    </row>
    <row r="3" spans="2:12" ht="15" customHeight="1">
      <c r="B3" s="349" t="s">
        <v>605</v>
      </c>
      <c r="C3" s="350"/>
      <c r="D3" s="15" t="s">
        <v>619</v>
      </c>
      <c r="E3" s="15" t="s">
        <v>621</v>
      </c>
      <c r="F3" s="15" t="s">
        <v>620</v>
      </c>
      <c r="G3" s="15" t="s">
        <v>619</v>
      </c>
      <c r="H3" s="15" t="s">
        <v>621</v>
      </c>
      <c r="I3" s="15" t="s">
        <v>620</v>
      </c>
      <c r="J3" s="352" t="s">
        <v>624</v>
      </c>
      <c r="K3" s="353" t="s">
        <v>625</v>
      </c>
      <c r="L3" s="354" t="s">
        <v>626</v>
      </c>
    </row>
    <row r="4" spans="2:12" ht="15" customHeight="1">
      <c r="B4" s="67" t="s">
        <v>617</v>
      </c>
      <c r="C4" s="15" t="s">
        <v>22</v>
      </c>
      <c r="D4" s="15" t="s">
        <v>22</v>
      </c>
      <c r="E4" s="15" t="s">
        <v>22</v>
      </c>
      <c r="F4" s="15" t="s">
        <v>22</v>
      </c>
      <c r="G4" s="15" t="s">
        <v>22</v>
      </c>
      <c r="H4" s="15" t="s">
        <v>22</v>
      </c>
      <c r="I4" s="15" t="s">
        <v>22</v>
      </c>
      <c r="J4" s="352"/>
      <c r="K4" s="353"/>
      <c r="L4" s="354"/>
    </row>
    <row r="5" spans="2:12" ht="15" customHeight="1">
      <c r="B5" s="205" t="s">
        <v>606</v>
      </c>
      <c r="C5" s="15">
        <v>15</v>
      </c>
      <c r="D5" s="17">
        <v>21</v>
      </c>
      <c r="E5" s="17">
        <v>21.3</v>
      </c>
      <c r="F5" s="17">
        <v>21.8</v>
      </c>
      <c r="G5" s="19">
        <v>2.32</v>
      </c>
      <c r="H5" s="19">
        <v>2.65</v>
      </c>
      <c r="I5" s="19">
        <v>2.91</v>
      </c>
      <c r="J5" s="19">
        <v>1.22</v>
      </c>
      <c r="K5" s="19">
        <v>1.23</v>
      </c>
      <c r="L5" s="179">
        <v>1.3</v>
      </c>
    </row>
    <row r="6" spans="2:12" ht="15" customHeight="1">
      <c r="B6" s="205" t="s">
        <v>607</v>
      </c>
      <c r="C6" s="15">
        <v>20</v>
      </c>
      <c r="D6" s="17">
        <v>26.5</v>
      </c>
      <c r="E6" s="17">
        <v>26.9</v>
      </c>
      <c r="F6" s="17">
        <v>27.3</v>
      </c>
      <c r="G6" s="19">
        <v>2.32</v>
      </c>
      <c r="H6" s="19">
        <v>2.65</v>
      </c>
      <c r="I6" s="19">
        <v>2.91</v>
      </c>
      <c r="J6" s="19">
        <v>1.58</v>
      </c>
      <c r="K6" s="19">
        <v>1.59</v>
      </c>
      <c r="L6" s="179">
        <v>1.68</v>
      </c>
    </row>
    <row r="7" spans="2:12" ht="15" customHeight="1">
      <c r="B7" s="205" t="s">
        <v>608</v>
      </c>
      <c r="C7" s="15">
        <v>25</v>
      </c>
      <c r="D7" s="17">
        <v>33.3</v>
      </c>
      <c r="E7" s="17">
        <v>33.7</v>
      </c>
      <c r="F7" s="17">
        <v>34.2</v>
      </c>
      <c r="G7" s="19">
        <v>2.85</v>
      </c>
      <c r="H7" s="19">
        <v>3.25</v>
      </c>
      <c r="I7" s="19">
        <v>3.57</v>
      </c>
      <c r="J7" s="19">
        <v>2.44</v>
      </c>
      <c r="K7" s="19">
        <v>2.46</v>
      </c>
      <c r="L7" s="179">
        <v>2.57</v>
      </c>
    </row>
    <row r="8" spans="2:12" ht="15" customHeight="1">
      <c r="B8" s="67" t="s">
        <v>609</v>
      </c>
      <c r="C8" s="15">
        <v>32</v>
      </c>
      <c r="D8" s="17">
        <v>42</v>
      </c>
      <c r="E8" s="17">
        <v>42.4</v>
      </c>
      <c r="F8" s="17">
        <v>42.9</v>
      </c>
      <c r="G8" s="19">
        <v>2.85</v>
      </c>
      <c r="H8" s="19">
        <v>3.25</v>
      </c>
      <c r="I8" s="19">
        <v>3.57</v>
      </c>
      <c r="J8" s="19">
        <v>3.14</v>
      </c>
      <c r="K8" s="19">
        <v>3.17</v>
      </c>
      <c r="L8" s="179">
        <v>3.32</v>
      </c>
    </row>
    <row r="9" spans="2:12" ht="15" customHeight="1">
      <c r="B9" s="67" t="s">
        <v>610</v>
      </c>
      <c r="C9" s="15">
        <v>40</v>
      </c>
      <c r="D9" s="17">
        <v>47.9</v>
      </c>
      <c r="E9" s="17">
        <v>48.3</v>
      </c>
      <c r="F9" s="17">
        <v>48.8</v>
      </c>
      <c r="G9" s="19">
        <v>2.85</v>
      </c>
      <c r="H9" s="19">
        <v>3.25</v>
      </c>
      <c r="I9" s="19">
        <v>3.57</v>
      </c>
      <c r="J9" s="19">
        <v>3.61</v>
      </c>
      <c r="K9" s="19">
        <v>3.65</v>
      </c>
      <c r="L9" s="179">
        <v>3.82</v>
      </c>
    </row>
    <row r="10" spans="2:12" ht="15" customHeight="1">
      <c r="B10" s="205" t="s">
        <v>611</v>
      </c>
      <c r="C10" s="15">
        <v>50</v>
      </c>
      <c r="D10" s="17">
        <v>59.7</v>
      </c>
      <c r="E10" s="17">
        <v>60.3</v>
      </c>
      <c r="F10" s="17">
        <v>60.8</v>
      </c>
      <c r="G10" s="19">
        <v>3.2</v>
      </c>
      <c r="H10" s="19">
        <v>3.65</v>
      </c>
      <c r="I10" s="19">
        <v>4.01</v>
      </c>
      <c r="J10" s="19">
        <v>5.1</v>
      </c>
      <c r="K10" s="19">
        <v>5.17</v>
      </c>
      <c r="L10" s="179">
        <v>5.38</v>
      </c>
    </row>
    <row r="11" spans="2:12" ht="15" customHeight="1">
      <c r="B11" s="67" t="s">
        <v>612</v>
      </c>
      <c r="C11" s="15">
        <v>65</v>
      </c>
      <c r="D11" s="17">
        <v>75.3</v>
      </c>
      <c r="E11" s="17">
        <v>76.1</v>
      </c>
      <c r="F11" s="17">
        <v>76.6</v>
      </c>
      <c r="G11" s="19">
        <v>3.2</v>
      </c>
      <c r="H11" s="19">
        <v>3.65</v>
      </c>
      <c r="I11" s="19">
        <v>4.01</v>
      </c>
      <c r="J11" s="19">
        <v>6.51</v>
      </c>
      <c r="K11" s="19">
        <v>6.63</v>
      </c>
      <c r="L11" s="179">
        <v>6.9</v>
      </c>
    </row>
    <row r="12" spans="2:12" ht="15" customHeight="1">
      <c r="B12" s="205" t="s">
        <v>613</v>
      </c>
      <c r="C12" s="15">
        <v>80</v>
      </c>
      <c r="D12" s="17">
        <v>88</v>
      </c>
      <c r="E12" s="17">
        <v>88.9</v>
      </c>
      <c r="F12" s="17">
        <v>89.5</v>
      </c>
      <c r="G12" s="19">
        <v>3.55</v>
      </c>
      <c r="H12" s="19">
        <v>4.05</v>
      </c>
      <c r="I12" s="19">
        <v>4.45</v>
      </c>
      <c r="J12" s="19">
        <v>8.47</v>
      </c>
      <c r="K12" s="19">
        <v>8.64</v>
      </c>
      <c r="L12" s="179">
        <v>8.96</v>
      </c>
    </row>
    <row r="13" spans="2:12" ht="15" customHeight="1">
      <c r="B13" s="205" t="s">
        <v>614</v>
      </c>
      <c r="C13" s="15">
        <v>100</v>
      </c>
      <c r="D13" s="17">
        <v>113.1</v>
      </c>
      <c r="E13" s="17">
        <v>114.3</v>
      </c>
      <c r="F13" s="17">
        <v>115</v>
      </c>
      <c r="G13" s="19">
        <v>3.95</v>
      </c>
      <c r="H13" s="19">
        <v>4.5</v>
      </c>
      <c r="I13" s="19">
        <v>4.95</v>
      </c>
      <c r="J13" s="19">
        <v>12.1</v>
      </c>
      <c r="K13" s="19">
        <v>12.4</v>
      </c>
      <c r="L13" s="179">
        <v>12.8</v>
      </c>
    </row>
    <row r="14" spans="2:12" ht="15" customHeight="1">
      <c r="B14" s="205" t="s">
        <v>615</v>
      </c>
      <c r="C14" s="15">
        <v>125</v>
      </c>
      <c r="D14" s="17">
        <v>138.5</v>
      </c>
      <c r="E14" s="17">
        <v>139.7</v>
      </c>
      <c r="F14" s="17">
        <v>140.8</v>
      </c>
      <c r="G14" s="19">
        <v>4.25</v>
      </c>
      <c r="H14" s="19">
        <v>4.85</v>
      </c>
      <c r="I14" s="19">
        <v>5.33</v>
      </c>
      <c r="J14" s="19">
        <v>16.2</v>
      </c>
      <c r="K14" s="19">
        <v>16.7</v>
      </c>
      <c r="L14" s="179">
        <v>17.35</v>
      </c>
    </row>
    <row r="15" spans="2:12" ht="15" customHeight="1" thickBot="1">
      <c r="B15" s="206" t="s">
        <v>616</v>
      </c>
      <c r="C15" s="190">
        <v>150</v>
      </c>
      <c r="D15" s="18">
        <v>163.9</v>
      </c>
      <c r="E15" s="18">
        <v>165.2</v>
      </c>
      <c r="F15" s="18">
        <v>166.5</v>
      </c>
      <c r="G15" s="20">
        <v>4.25</v>
      </c>
      <c r="H15" s="20">
        <v>4.85</v>
      </c>
      <c r="I15" s="20">
        <v>5.33</v>
      </c>
      <c r="J15" s="20">
        <v>19.2</v>
      </c>
      <c r="K15" s="20">
        <v>19.8</v>
      </c>
      <c r="L15" s="180">
        <v>20.6</v>
      </c>
    </row>
    <row r="16" spans="2:6" ht="15" customHeight="1" thickTop="1">
      <c r="B16" s="1"/>
      <c r="C16" s="1"/>
      <c r="D16" s="1"/>
      <c r="E16" s="1"/>
      <c r="F16" s="1"/>
    </row>
    <row r="17" ht="15" customHeight="1"/>
    <row r="18" ht="15" customHeight="1"/>
    <row r="19" ht="15" customHeight="1"/>
    <row r="20" ht="15" customHeight="1"/>
    <row r="21" ht="15" customHeight="1"/>
    <row r="22" ht="15" customHeight="1"/>
    <row r="23" ht="15" customHeight="1"/>
  </sheetData>
  <sheetProtection/>
  <mergeCells count="9">
    <mergeCell ref="B2:C2"/>
    <mergeCell ref="B3:C3"/>
    <mergeCell ref="B1:L1"/>
    <mergeCell ref="D2:F2"/>
    <mergeCell ref="G2:I2"/>
    <mergeCell ref="J2:L2"/>
    <mergeCell ref="J3:J4"/>
    <mergeCell ref="K3:K4"/>
    <mergeCell ref="L3:L4"/>
  </mergeCells>
  <printOptions/>
  <pageMargins left="0.9448818897637796" right="0.35433070866141736" top="0.984251968503937" bottom="0.3937007874015748" header="0.5118110236220472" footer="0.5118110236220472"/>
  <pageSetup orientation="portrait" paperSize="9" scale="74" r:id="rId1"/>
</worksheet>
</file>

<file path=xl/worksheets/sheet15.xml><?xml version="1.0" encoding="utf-8"?>
<worksheet xmlns="http://schemas.openxmlformats.org/spreadsheetml/2006/main" xmlns:r="http://schemas.openxmlformats.org/officeDocument/2006/relationships">
  <sheetPr>
    <tabColor indexed="53"/>
  </sheetPr>
  <dimension ref="B1:G27"/>
  <sheetViews>
    <sheetView showGridLines="0" zoomScalePageLayoutView="0" workbookViewId="0" topLeftCell="A1">
      <selection activeCell="B17" sqref="B17:G17"/>
    </sheetView>
  </sheetViews>
  <sheetFormatPr defaultColWidth="9.125" defaultRowHeight="12.75"/>
  <cols>
    <col min="1" max="1" width="2.625" style="86" customWidth="1"/>
    <col min="2" max="2" width="25.625" style="86" customWidth="1"/>
    <col min="3" max="4" width="12.625" style="86" customWidth="1"/>
    <col min="5" max="7" width="18.625" style="86" customWidth="1"/>
    <col min="8" max="8" width="2.625" style="86" customWidth="1"/>
    <col min="9" max="9" width="40.625" style="86" customWidth="1"/>
    <col min="10" max="10" width="12.625" style="86" customWidth="1"/>
    <col min="11" max="16384" width="9.125" style="86" customWidth="1"/>
  </cols>
  <sheetData>
    <row r="1" spans="2:3" ht="19.5" customHeight="1" thickBot="1">
      <c r="B1" s="323" t="s">
        <v>632</v>
      </c>
      <c r="C1" s="323"/>
    </row>
    <row r="2" spans="2:3" ht="15" customHeight="1" thickTop="1">
      <c r="B2" s="211" t="s">
        <v>627</v>
      </c>
      <c r="C2" s="214">
        <v>3.1</v>
      </c>
    </row>
    <row r="3" spans="2:3" ht="15" customHeight="1">
      <c r="B3" s="212" t="s">
        <v>628</v>
      </c>
      <c r="C3" s="106">
        <v>3.05</v>
      </c>
    </row>
    <row r="4" spans="2:3" ht="15" customHeight="1">
      <c r="B4" s="212" t="s">
        <v>629</v>
      </c>
      <c r="C4" s="106">
        <v>3.04</v>
      </c>
    </row>
    <row r="5" spans="2:3" ht="15" customHeight="1">
      <c r="B5" s="212" t="s">
        <v>630</v>
      </c>
      <c r="C5" s="106">
        <v>3</v>
      </c>
    </row>
    <row r="6" spans="2:3" ht="15" customHeight="1" thickBot="1">
      <c r="B6" s="213" t="s">
        <v>631</v>
      </c>
      <c r="C6" s="108">
        <v>2.93</v>
      </c>
    </row>
    <row r="7" ht="15" customHeight="1" thickTop="1"/>
    <row r="8" spans="2:3" ht="19.5" customHeight="1" thickBot="1">
      <c r="B8" s="356" t="s">
        <v>633</v>
      </c>
      <c r="C8" s="356"/>
    </row>
    <row r="9" spans="2:3" ht="15" customHeight="1" thickTop="1">
      <c r="B9" s="207" t="s">
        <v>634</v>
      </c>
      <c r="C9" s="208">
        <v>2.64</v>
      </c>
    </row>
    <row r="10" spans="2:3" ht="15" customHeight="1">
      <c r="B10" s="209" t="s">
        <v>635</v>
      </c>
      <c r="C10" s="102">
        <v>2.7</v>
      </c>
    </row>
    <row r="11" spans="2:3" ht="15" customHeight="1">
      <c r="B11" s="209" t="s">
        <v>636</v>
      </c>
      <c r="C11" s="102">
        <v>2.62</v>
      </c>
    </row>
    <row r="12" spans="2:3" ht="15" customHeight="1">
      <c r="B12" s="209" t="s">
        <v>637</v>
      </c>
      <c r="C12" s="102">
        <v>2.67</v>
      </c>
    </row>
    <row r="13" spans="2:3" ht="15" customHeight="1">
      <c r="B13" s="209" t="s">
        <v>638</v>
      </c>
      <c r="C13" s="102">
        <v>2.7</v>
      </c>
    </row>
    <row r="14" spans="2:3" ht="15" customHeight="1">
      <c r="B14" s="209" t="s">
        <v>639</v>
      </c>
      <c r="C14" s="102">
        <v>2.85</v>
      </c>
    </row>
    <row r="15" spans="2:3" ht="15" customHeight="1" thickBot="1">
      <c r="B15" s="210" t="s">
        <v>640</v>
      </c>
      <c r="C15" s="104">
        <v>2.9</v>
      </c>
    </row>
    <row r="16" ht="15" customHeight="1" thickTop="1"/>
    <row r="17" spans="2:7" ht="19.5" customHeight="1" thickBot="1">
      <c r="B17" s="323" t="s">
        <v>735</v>
      </c>
      <c r="C17" s="323"/>
      <c r="D17" s="323"/>
      <c r="E17" s="323"/>
      <c r="F17" s="323"/>
      <c r="G17" s="323"/>
    </row>
    <row r="18" spans="2:7" ht="39.75" customHeight="1" thickTop="1">
      <c r="B18" s="273" t="s">
        <v>745</v>
      </c>
      <c r="C18" s="355" t="s">
        <v>746</v>
      </c>
      <c r="D18" s="355"/>
      <c r="E18" s="274" t="s">
        <v>747</v>
      </c>
      <c r="F18" s="274" t="s">
        <v>748</v>
      </c>
      <c r="G18" s="275" t="s">
        <v>749</v>
      </c>
    </row>
    <row r="19" spans="2:7" ht="15" customHeight="1">
      <c r="B19" s="209" t="s">
        <v>736</v>
      </c>
      <c r="C19" s="340">
        <v>18</v>
      </c>
      <c r="D19" s="340"/>
      <c r="E19" s="36">
        <v>20</v>
      </c>
      <c r="F19" s="36">
        <v>1.4</v>
      </c>
      <c r="G19" s="85">
        <v>27000</v>
      </c>
    </row>
    <row r="20" spans="2:7" ht="15" customHeight="1">
      <c r="B20" s="209" t="s">
        <v>737</v>
      </c>
      <c r="C20" s="340">
        <v>18</v>
      </c>
      <c r="D20" s="340"/>
      <c r="E20" s="36">
        <v>22</v>
      </c>
      <c r="F20" s="36">
        <v>1.5</v>
      </c>
      <c r="G20" s="85">
        <v>27500</v>
      </c>
    </row>
    <row r="21" spans="2:7" ht="15" customHeight="1">
      <c r="B21" s="209" t="s">
        <v>738</v>
      </c>
      <c r="C21" s="340">
        <v>20</v>
      </c>
      <c r="D21" s="340"/>
      <c r="E21" s="36">
        <v>25</v>
      </c>
      <c r="F21" s="36">
        <v>1.6</v>
      </c>
      <c r="G21" s="85">
        <v>28000</v>
      </c>
    </row>
    <row r="22" spans="2:7" ht="15" customHeight="1">
      <c r="B22" s="209" t="s">
        <v>739</v>
      </c>
      <c r="C22" s="340">
        <v>25</v>
      </c>
      <c r="D22" s="340"/>
      <c r="E22" s="36">
        <v>30</v>
      </c>
      <c r="F22" s="36">
        <v>1.8</v>
      </c>
      <c r="G22" s="85">
        <v>30000</v>
      </c>
    </row>
    <row r="23" spans="2:7" ht="15" customHeight="1">
      <c r="B23" s="209" t="s">
        <v>740</v>
      </c>
      <c r="C23" s="340">
        <v>30</v>
      </c>
      <c r="D23" s="340"/>
      <c r="E23" s="36">
        <v>37</v>
      </c>
      <c r="F23" s="36">
        <v>1.9</v>
      </c>
      <c r="G23" s="85">
        <v>32000</v>
      </c>
    </row>
    <row r="24" spans="2:7" ht="15" customHeight="1">
      <c r="B24" s="209" t="s">
        <v>741</v>
      </c>
      <c r="C24" s="340">
        <v>35</v>
      </c>
      <c r="D24" s="340"/>
      <c r="E24" s="36">
        <v>45</v>
      </c>
      <c r="F24" s="36">
        <v>2.1</v>
      </c>
      <c r="G24" s="85">
        <v>33000</v>
      </c>
    </row>
    <row r="25" spans="2:7" ht="15" customHeight="1">
      <c r="B25" s="209" t="s">
        <v>742</v>
      </c>
      <c r="C25" s="340">
        <v>40</v>
      </c>
      <c r="D25" s="340"/>
      <c r="E25" s="36">
        <v>50</v>
      </c>
      <c r="F25" s="36">
        <v>2.2</v>
      </c>
      <c r="G25" s="85">
        <v>34000</v>
      </c>
    </row>
    <row r="26" spans="2:7" ht="15" customHeight="1">
      <c r="B26" s="209" t="s">
        <v>743</v>
      </c>
      <c r="C26" s="340">
        <v>45</v>
      </c>
      <c r="D26" s="340"/>
      <c r="E26" s="36">
        <v>55</v>
      </c>
      <c r="F26" s="36">
        <v>2.3</v>
      </c>
      <c r="G26" s="85">
        <v>36000</v>
      </c>
    </row>
    <row r="27" spans="2:7" ht="15" customHeight="1" thickBot="1">
      <c r="B27" s="210" t="s">
        <v>744</v>
      </c>
      <c r="C27" s="343">
        <v>50</v>
      </c>
      <c r="D27" s="343"/>
      <c r="E27" s="39">
        <v>60</v>
      </c>
      <c r="F27" s="39">
        <v>2.5</v>
      </c>
      <c r="G27" s="173">
        <v>37000</v>
      </c>
    </row>
    <row r="28" ht="13.5" thickTop="1"/>
  </sheetData>
  <sheetProtection/>
  <mergeCells count="13">
    <mergeCell ref="B8:C8"/>
    <mergeCell ref="B1:C1"/>
    <mergeCell ref="C19:D19"/>
    <mergeCell ref="C20:D20"/>
    <mergeCell ref="B17:G17"/>
    <mergeCell ref="C25:D25"/>
    <mergeCell ref="C26:D26"/>
    <mergeCell ref="C27:D27"/>
    <mergeCell ref="C18:D18"/>
    <mergeCell ref="C21:D21"/>
    <mergeCell ref="C22:D22"/>
    <mergeCell ref="C23:D23"/>
    <mergeCell ref="C24:D24"/>
  </mergeCells>
  <printOptions/>
  <pageMargins left="0.9448818897637796" right="0.35433070866141736" top="0.984251968503937" bottom="0.3937007874015748" header="0.5118110236220472" footer="0.5118110236220472"/>
  <pageSetup orientation="portrait" paperSize="9" scale="82" r:id="rId1"/>
</worksheet>
</file>

<file path=xl/worksheets/sheet16.xml><?xml version="1.0" encoding="utf-8"?>
<worksheet xmlns="http://schemas.openxmlformats.org/spreadsheetml/2006/main" xmlns:r="http://schemas.openxmlformats.org/officeDocument/2006/relationships">
  <sheetPr>
    <tabColor indexed="13"/>
  </sheetPr>
  <dimension ref="B1:J18"/>
  <sheetViews>
    <sheetView showGridLines="0" zoomScalePageLayoutView="0" workbookViewId="0" topLeftCell="C1">
      <selection activeCell="I1" sqref="I1:J1"/>
    </sheetView>
  </sheetViews>
  <sheetFormatPr defaultColWidth="9.125" defaultRowHeight="12.75"/>
  <cols>
    <col min="1" max="1" width="2.625" style="86" customWidth="1"/>
    <col min="2" max="2" width="25.625" style="86" customWidth="1"/>
    <col min="3" max="3" width="12.625" style="86" customWidth="1"/>
    <col min="4" max="4" width="2.625" style="86" customWidth="1"/>
    <col min="5" max="5" width="25.625" style="86" customWidth="1"/>
    <col min="6" max="7" width="12.625" style="86" customWidth="1"/>
    <col min="8" max="8" width="2.625" style="86" customWidth="1"/>
    <col min="9" max="9" width="40.625" style="86" customWidth="1"/>
    <col min="10" max="10" width="12.625" style="86" customWidth="1"/>
    <col min="11" max="16384" width="9.125" style="86" customWidth="1"/>
  </cols>
  <sheetData>
    <row r="1" spans="2:10" ht="19.5" customHeight="1" thickBot="1">
      <c r="B1" s="357" t="s">
        <v>67</v>
      </c>
      <c r="C1" s="357"/>
      <c r="E1" s="356" t="s">
        <v>69</v>
      </c>
      <c r="F1" s="356"/>
      <c r="G1" s="356"/>
      <c r="I1" s="357" t="s">
        <v>87</v>
      </c>
      <c r="J1" s="357"/>
    </row>
    <row r="2" spans="2:10" ht="15" customHeight="1" thickTop="1">
      <c r="B2" s="83" t="s">
        <v>68</v>
      </c>
      <c r="C2" s="84" t="s">
        <v>60</v>
      </c>
      <c r="E2" s="83" t="s">
        <v>70</v>
      </c>
      <c r="F2" s="87" t="s">
        <v>60</v>
      </c>
      <c r="G2" s="84" t="s">
        <v>86</v>
      </c>
      <c r="I2" s="83" t="s">
        <v>88</v>
      </c>
      <c r="J2" s="84" t="s">
        <v>60</v>
      </c>
    </row>
    <row r="3" spans="2:10" ht="15" customHeight="1">
      <c r="B3" s="88" t="s">
        <v>61</v>
      </c>
      <c r="C3" s="46">
        <v>1.6</v>
      </c>
      <c r="E3" s="88" t="s">
        <v>71</v>
      </c>
      <c r="F3" s="45">
        <v>1.6</v>
      </c>
      <c r="G3" s="85"/>
      <c r="I3" s="88" t="s">
        <v>89</v>
      </c>
      <c r="J3" s="46">
        <v>2.2</v>
      </c>
    </row>
    <row r="4" spans="2:10" ht="15" customHeight="1">
      <c r="B4" s="88" t="s">
        <v>62</v>
      </c>
      <c r="C4" s="46">
        <v>1.8</v>
      </c>
      <c r="E4" s="88" t="s">
        <v>72</v>
      </c>
      <c r="F4" s="45">
        <v>1.8</v>
      </c>
      <c r="G4" s="85"/>
      <c r="I4" s="88" t="s">
        <v>90</v>
      </c>
      <c r="J4" s="46">
        <v>2</v>
      </c>
    </row>
    <row r="5" spans="2:10" ht="15" customHeight="1">
      <c r="B5" s="88" t="s">
        <v>63</v>
      </c>
      <c r="C5" s="46">
        <v>2</v>
      </c>
      <c r="E5" s="88" t="s">
        <v>73</v>
      </c>
      <c r="F5" s="45" t="s">
        <v>74</v>
      </c>
      <c r="G5" s="85"/>
      <c r="I5" s="88" t="s">
        <v>91</v>
      </c>
      <c r="J5" s="46"/>
    </row>
    <row r="6" spans="2:10" ht="15" customHeight="1">
      <c r="B6" s="88" t="s">
        <v>64</v>
      </c>
      <c r="C6" s="46">
        <v>2.2</v>
      </c>
      <c r="E6" s="88" t="s">
        <v>75</v>
      </c>
      <c r="F6" s="45">
        <v>1.8</v>
      </c>
      <c r="G6" s="85"/>
      <c r="I6" s="88" t="s">
        <v>92</v>
      </c>
      <c r="J6" s="46">
        <v>2.1</v>
      </c>
    </row>
    <row r="7" spans="2:10" ht="15" customHeight="1">
      <c r="B7" s="88" t="s">
        <v>65</v>
      </c>
      <c r="C7" s="46">
        <v>2.4</v>
      </c>
      <c r="E7" s="88" t="s">
        <v>76</v>
      </c>
      <c r="F7" s="45">
        <v>2</v>
      </c>
      <c r="G7" s="85"/>
      <c r="I7" s="88" t="s">
        <v>93</v>
      </c>
      <c r="J7" s="46">
        <v>2.2</v>
      </c>
    </row>
    <row r="8" spans="2:10" ht="15" customHeight="1">
      <c r="B8" s="88" t="s">
        <v>66</v>
      </c>
      <c r="C8" s="46">
        <v>2.6</v>
      </c>
      <c r="E8" s="88" t="s">
        <v>77</v>
      </c>
      <c r="F8" s="45">
        <v>2.2</v>
      </c>
      <c r="G8" s="85"/>
      <c r="I8" s="88" t="s">
        <v>94</v>
      </c>
      <c r="J8" s="46">
        <v>2.3</v>
      </c>
    </row>
    <row r="9" spans="2:10" ht="15" customHeight="1" thickBot="1">
      <c r="B9" s="89" t="s">
        <v>173</v>
      </c>
      <c r="C9" s="73">
        <v>2.8</v>
      </c>
      <c r="E9" s="88" t="s">
        <v>78</v>
      </c>
      <c r="F9" s="45">
        <v>2.4</v>
      </c>
      <c r="G9" s="85"/>
      <c r="I9" s="88" t="s">
        <v>95</v>
      </c>
      <c r="J9" s="46">
        <v>2.4</v>
      </c>
    </row>
    <row r="10" spans="5:10" ht="15" customHeight="1" thickTop="1">
      <c r="E10" s="88" t="s">
        <v>79</v>
      </c>
      <c r="F10" s="45"/>
      <c r="G10" s="46" t="s">
        <v>74</v>
      </c>
      <c r="I10" s="88" t="s">
        <v>96</v>
      </c>
      <c r="J10" s="46">
        <v>2.6</v>
      </c>
    </row>
    <row r="11" spans="5:10" ht="15" customHeight="1">
      <c r="E11" s="88" t="s">
        <v>80</v>
      </c>
      <c r="F11" s="45"/>
      <c r="G11" s="46" t="s">
        <v>74</v>
      </c>
      <c r="I11" s="88" t="s">
        <v>97</v>
      </c>
      <c r="J11" s="46">
        <v>1.8</v>
      </c>
    </row>
    <row r="12" spans="5:10" ht="15" customHeight="1">
      <c r="E12" s="88" t="s">
        <v>81</v>
      </c>
      <c r="F12" s="45"/>
      <c r="G12" s="46" t="s">
        <v>74</v>
      </c>
      <c r="I12" s="88" t="s">
        <v>98</v>
      </c>
      <c r="J12" s="46">
        <v>2</v>
      </c>
    </row>
    <row r="13" spans="5:10" ht="15" customHeight="1">
      <c r="E13" s="88" t="s">
        <v>82</v>
      </c>
      <c r="F13" s="45"/>
      <c r="G13" s="46" t="s">
        <v>74</v>
      </c>
      <c r="I13" s="88" t="s">
        <v>99</v>
      </c>
      <c r="J13" s="46">
        <v>0.4</v>
      </c>
    </row>
    <row r="14" spans="5:10" ht="15" customHeight="1">
      <c r="E14" s="88" t="s">
        <v>83</v>
      </c>
      <c r="F14" s="45"/>
      <c r="G14" s="46" t="s">
        <v>74</v>
      </c>
      <c r="I14" s="88" t="s">
        <v>100</v>
      </c>
      <c r="J14" s="46">
        <v>0.6</v>
      </c>
    </row>
    <row r="15" spans="5:10" ht="15" customHeight="1">
      <c r="E15" s="88" t="s">
        <v>84</v>
      </c>
      <c r="F15" s="45"/>
      <c r="G15" s="46" t="s">
        <v>74</v>
      </c>
      <c r="I15" s="88" t="s">
        <v>101</v>
      </c>
      <c r="J15" s="46">
        <v>0.8</v>
      </c>
    </row>
    <row r="16" spans="5:10" ht="15" customHeight="1" thickBot="1">
      <c r="E16" s="89" t="s">
        <v>85</v>
      </c>
      <c r="F16" s="72"/>
      <c r="G16" s="73" t="s">
        <v>74</v>
      </c>
      <c r="I16" s="88" t="s">
        <v>102</v>
      </c>
      <c r="J16" s="46">
        <v>1.25</v>
      </c>
    </row>
    <row r="17" spans="9:10" ht="15" customHeight="1" thickBot="1" thickTop="1">
      <c r="I17" s="89" t="s">
        <v>103</v>
      </c>
      <c r="J17" s="73">
        <v>2</v>
      </c>
    </row>
    <row r="18" ht="15" customHeight="1" thickTop="1">
      <c r="B18" s="86" t="s">
        <v>653</v>
      </c>
    </row>
    <row r="19" ht="15" customHeight="1"/>
    <row r="20" ht="15" customHeight="1"/>
    <row r="21" ht="15" customHeight="1"/>
    <row r="22" ht="15" customHeight="1"/>
  </sheetData>
  <sheetProtection/>
  <mergeCells count="3">
    <mergeCell ref="B1:C1"/>
    <mergeCell ref="E1:G1"/>
    <mergeCell ref="I1:J1"/>
  </mergeCells>
  <printOptions/>
  <pageMargins left="0.9448818897637796" right="0.35433070866141736" top="0.984251968503937" bottom="0.3937007874015748" header="0.5118110236220472" footer="0.5118110236220472"/>
  <pageSetup orientation="landscape" paperSize="9" scale="89" r:id="rId1"/>
</worksheet>
</file>

<file path=xl/worksheets/sheet17.xml><?xml version="1.0" encoding="utf-8"?>
<worksheet xmlns="http://schemas.openxmlformats.org/spreadsheetml/2006/main" xmlns:r="http://schemas.openxmlformats.org/officeDocument/2006/relationships">
  <sheetPr>
    <tabColor indexed="46"/>
  </sheetPr>
  <dimension ref="B1:K29"/>
  <sheetViews>
    <sheetView showGridLines="0" zoomScalePageLayoutView="0" workbookViewId="0" topLeftCell="A1">
      <selection activeCell="B1" sqref="B1:K1"/>
    </sheetView>
  </sheetViews>
  <sheetFormatPr defaultColWidth="9.00390625" defaultRowHeight="12.75"/>
  <cols>
    <col min="1" max="1" width="2.625" style="0" customWidth="1"/>
    <col min="2" max="2" width="20.625" style="0" customWidth="1"/>
    <col min="3" max="3" width="12.625" style="0" customWidth="1"/>
    <col min="4" max="4" width="20.625" style="0" customWidth="1"/>
    <col min="5" max="5" width="12.625" style="0" customWidth="1"/>
    <col min="6" max="6" width="20.625" style="0" customWidth="1"/>
    <col min="7" max="7" width="12.625" style="0" customWidth="1"/>
    <col min="8" max="8" width="20.625" style="0" customWidth="1"/>
    <col min="9" max="9" width="10.625" style="0" customWidth="1"/>
    <col min="10" max="10" width="20.625" style="0" customWidth="1"/>
    <col min="11" max="11" width="12.625" style="0" customWidth="1"/>
  </cols>
  <sheetData>
    <row r="1" spans="2:11" ht="15" customHeight="1" thickBot="1">
      <c r="B1" s="321" t="s">
        <v>104</v>
      </c>
      <c r="C1" s="321"/>
      <c r="D1" s="321"/>
      <c r="E1" s="321"/>
      <c r="F1" s="321"/>
      <c r="G1" s="321"/>
      <c r="H1" s="321"/>
      <c r="I1" s="321"/>
      <c r="J1" s="321"/>
      <c r="K1" s="321"/>
    </row>
    <row r="2" spans="2:11" ht="24.75" customHeight="1" thickTop="1">
      <c r="B2" s="56" t="s">
        <v>70</v>
      </c>
      <c r="C2" s="97" t="s">
        <v>105</v>
      </c>
      <c r="D2" s="56" t="s">
        <v>70</v>
      </c>
      <c r="E2" s="98" t="s">
        <v>105</v>
      </c>
      <c r="F2" s="99" t="s">
        <v>70</v>
      </c>
      <c r="G2" s="98" t="s">
        <v>105</v>
      </c>
      <c r="H2" s="99" t="s">
        <v>70</v>
      </c>
      <c r="I2" s="98" t="s">
        <v>105</v>
      </c>
      <c r="J2" s="99" t="s">
        <v>70</v>
      </c>
      <c r="K2" s="98" t="s">
        <v>105</v>
      </c>
    </row>
    <row r="3" spans="2:11" ht="15" customHeight="1">
      <c r="B3" s="92" t="s">
        <v>106</v>
      </c>
      <c r="C3" s="90" t="s">
        <v>107</v>
      </c>
      <c r="D3" s="92" t="s">
        <v>138</v>
      </c>
      <c r="E3" s="21">
        <v>2.6</v>
      </c>
      <c r="F3" s="96" t="s">
        <v>168</v>
      </c>
      <c r="G3" s="25">
        <v>1.55</v>
      </c>
      <c r="H3" s="96" t="s">
        <v>205</v>
      </c>
      <c r="I3" s="25">
        <v>1.4</v>
      </c>
      <c r="J3" s="96" t="s">
        <v>238</v>
      </c>
      <c r="K3" s="25">
        <v>1.8</v>
      </c>
    </row>
    <row r="4" spans="2:11" ht="15" customHeight="1">
      <c r="B4" s="92" t="s">
        <v>108</v>
      </c>
      <c r="C4" s="90">
        <v>0.79</v>
      </c>
      <c r="D4" s="92" t="s">
        <v>139</v>
      </c>
      <c r="E4" s="21" t="s">
        <v>140</v>
      </c>
      <c r="F4" s="92" t="s">
        <v>169</v>
      </c>
      <c r="G4" s="21">
        <v>1.6</v>
      </c>
      <c r="H4" s="92" t="s">
        <v>206</v>
      </c>
      <c r="I4" s="21">
        <v>1.53</v>
      </c>
      <c r="J4" s="92" t="s">
        <v>239</v>
      </c>
      <c r="K4" s="21">
        <v>1.49</v>
      </c>
    </row>
    <row r="5" spans="2:11" ht="15" customHeight="1">
      <c r="B5" s="92" t="s">
        <v>109</v>
      </c>
      <c r="C5" s="90" t="s">
        <v>110</v>
      </c>
      <c r="D5" s="92" t="s">
        <v>141</v>
      </c>
      <c r="E5" s="21">
        <v>13.6</v>
      </c>
      <c r="F5" s="94" t="s">
        <v>170</v>
      </c>
      <c r="G5" s="21">
        <v>1.8</v>
      </c>
      <c r="H5" s="94" t="s">
        <v>207</v>
      </c>
      <c r="I5" s="21" t="s">
        <v>208</v>
      </c>
      <c r="J5" s="94" t="s">
        <v>240</v>
      </c>
      <c r="K5" s="21">
        <v>0.98</v>
      </c>
    </row>
    <row r="6" spans="2:11" ht="15" customHeight="1">
      <c r="B6" s="92" t="s">
        <v>111</v>
      </c>
      <c r="C6" s="90">
        <v>2.6</v>
      </c>
      <c r="D6" s="92" t="s">
        <v>142</v>
      </c>
      <c r="E6" s="21">
        <v>1.6</v>
      </c>
      <c r="F6" s="94" t="s">
        <v>172</v>
      </c>
      <c r="G6" s="21">
        <v>2</v>
      </c>
      <c r="H6" s="94" t="s">
        <v>209</v>
      </c>
      <c r="I6" s="21" t="s">
        <v>210</v>
      </c>
      <c r="J6" s="94" t="s">
        <v>80</v>
      </c>
      <c r="K6" s="21" t="s">
        <v>241</v>
      </c>
    </row>
    <row r="7" spans="2:11" ht="15" customHeight="1">
      <c r="B7" s="92" t="s">
        <v>112</v>
      </c>
      <c r="C7" s="90">
        <v>2.7</v>
      </c>
      <c r="D7" s="92" t="s">
        <v>143</v>
      </c>
      <c r="E7" s="21">
        <v>1.2</v>
      </c>
      <c r="F7" s="94" t="s">
        <v>171</v>
      </c>
      <c r="G7" s="21">
        <v>2.2</v>
      </c>
      <c r="H7" s="94" t="s">
        <v>211</v>
      </c>
      <c r="I7" s="21">
        <v>1.45</v>
      </c>
      <c r="J7" s="94" t="s">
        <v>242</v>
      </c>
      <c r="K7" s="21">
        <v>11.3</v>
      </c>
    </row>
    <row r="8" spans="2:11" ht="15" customHeight="1">
      <c r="B8" s="92" t="s">
        <v>113</v>
      </c>
      <c r="C8" s="90">
        <v>19.33</v>
      </c>
      <c r="D8" s="92" t="s">
        <v>144</v>
      </c>
      <c r="E8" s="21">
        <v>7.17</v>
      </c>
      <c r="F8" s="94" t="s">
        <v>174</v>
      </c>
      <c r="G8" s="21">
        <v>2.4</v>
      </c>
      <c r="H8" s="94" t="s">
        <v>212</v>
      </c>
      <c r="I8" s="21">
        <v>0.8</v>
      </c>
      <c r="J8" s="94" t="s">
        <v>243</v>
      </c>
      <c r="K8" s="21">
        <v>4.5</v>
      </c>
    </row>
    <row r="9" spans="2:11" ht="15" customHeight="1">
      <c r="B9" s="92" t="s">
        <v>114</v>
      </c>
      <c r="C9" s="90">
        <v>5.72</v>
      </c>
      <c r="D9" s="92" t="s">
        <v>145</v>
      </c>
      <c r="E9" s="21" t="s">
        <v>146</v>
      </c>
      <c r="F9" s="94" t="s">
        <v>175</v>
      </c>
      <c r="G9" s="21">
        <v>2.6</v>
      </c>
      <c r="H9" s="94" t="s">
        <v>213</v>
      </c>
      <c r="I9" s="21">
        <v>3</v>
      </c>
      <c r="J9" s="94" t="s">
        <v>244</v>
      </c>
      <c r="K9" s="21">
        <v>1.2</v>
      </c>
    </row>
    <row r="10" spans="2:11" ht="15" customHeight="1">
      <c r="B10" s="92" t="s">
        <v>115</v>
      </c>
      <c r="C10" s="90">
        <v>3</v>
      </c>
      <c r="D10" s="92" t="s">
        <v>147</v>
      </c>
      <c r="E10" s="21">
        <v>7.85</v>
      </c>
      <c r="F10" s="94" t="s">
        <v>176</v>
      </c>
      <c r="G10" s="21">
        <v>2.8</v>
      </c>
      <c r="H10" s="94" t="s">
        <v>214</v>
      </c>
      <c r="I10" s="21" t="s">
        <v>215</v>
      </c>
      <c r="J10" s="94" t="s">
        <v>245</v>
      </c>
      <c r="K10" s="21">
        <v>18.7</v>
      </c>
    </row>
    <row r="11" spans="2:11" ht="15" customHeight="1">
      <c r="B11" s="92" t="s">
        <v>116</v>
      </c>
      <c r="C11" s="90">
        <v>1.555</v>
      </c>
      <c r="D11" s="92" t="s">
        <v>148</v>
      </c>
      <c r="E11" s="21">
        <v>7.8</v>
      </c>
      <c r="F11" s="94" t="s">
        <v>177</v>
      </c>
      <c r="G11" s="21">
        <v>0.675</v>
      </c>
      <c r="H11" s="94" t="s">
        <v>216</v>
      </c>
      <c r="I11" s="21">
        <v>0.91</v>
      </c>
      <c r="J11" s="94" t="s">
        <v>246</v>
      </c>
      <c r="K11" s="21">
        <v>5.6</v>
      </c>
    </row>
    <row r="12" spans="2:11" ht="15" customHeight="1">
      <c r="B12" s="92" t="s">
        <v>117</v>
      </c>
      <c r="C12" s="90">
        <v>6.7</v>
      </c>
      <c r="D12" s="92" t="s">
        <v>149</v>
      </c>
      <c r="E12" s="21">
        <v>7.25</v>
      </c>
      <c r="F12" s="94" t="s">
        <v>178</v>
      </c>
      <c r="G12" s="21">
        <v>0.8</v>
      </c>
      <c r="H12" s="94" t="s">
        <v>217</v>
      </c>
      <c r="I12" s="21">
        <v>1.74</v>
      </c>
      <c r="J12" s="94" t="s">
        <v>247</v>
      </c>
      <c r="K12" s="21">
        <v>19.1</v>
      </c>
    </row>
    <row r="13" spans="2:11" ht="15" customHeight="1">
      <c r="B13" s="92" t="s">
        <v>119</v>
      </c>
      <c r="C13" s="90" t="s">
        <v>118</v>
      </c>
      <c r="D13" s="92" t="s">
        <v>150</v>
      </c>
      <c r="E13" s="21">
        <v>7.85</v>
      </c>
      <c r="F13" s="94" t="s">
        <v>179</v>
      </c>
      <c r="G13" s="21" t="s">
        <v>186</v>
      </c>
      <c r="H13" s="94" t="s">
        <v>218</v>
      </c>
      <c r="I13" s="21">
        <v>1.8</v>
      </c>
      <c r="J13" s="94" t="s">
        <v>248</v>
      </c>
      <c r="K13" s="21">
        <v>0.87</v>
      </c>
    </row>
    <row r="14" spans="2:11" ht="15" customHeight="1">
      <c r="B14" s="92" t="s">
        <v>120</v>
      </c>
      <c r="C14" s="90">
        <v>0.994</v>
      </c>
      <c r="D14" s="92" t="s">
        <v>151</v>
      </c>
      <c r="E14" s="21" t="s">
        <v>152</v>
      </c>
      <c r="F14" s="94" t="s">
        <v>180</v>
      </c>
      <c r="G14" s="21">
        <v>0.84</v>
      </c>
      <c r="H14" s="94" t="s">
        <v>219</v>
      </c>
      <c r="I14" s="21">
        <v>7.3</v>
      </c>
      <c r="J14" s="94" t="s">
        <v>249</v>
      </c>
      <c r="K14" s="21">
        <v>0.88</v>
      </c>
    </row>
    <row r="15" spans="2:11" ht="15" customHeight="1">
      <c r="B15" s="92" t="s">
        <v>121</v>
      </c>
      <c r="C15" s="90" t="s">
        <v>122</v>
      </c>
      <c r="D15" s="92" t="s">
        <v>153</v>
      </c>
      <c r="E15" s="21">
        <v>3.5</v>
      </c>
      <c r="F15" s="94" t="s">
        <v>181</v>
      </c>
      <c r="G15" s="21" t="s">
        <v>187</v>
      </c>
      <c r="H15" s="94" t="s">
        <v>220</v>
      </c>
      <c r="I15" s="21">
        <v>0.85</v>
      </c>
      <c r="J15" s="94" t="s">
        <v>250</v>
      </c>
      <c r="K15" s="21">
        <v>0.91</v>
      </c>
    </row>
    <row r="16" spans="2:11" ht="15" customHeight="1">
      <c r="B16" s="92" t="s">
        <v>123</v>
      </c>
      <c r="C16" s="90">
        <v>3.6</v>
      </c>
      <c r="D16" s="92" t="s">
        <v>154</v>
      </c>
      <c r="E16" s="21">
        <v>0.73</v>
      </c>
      <c r="F16" s="94" t="s">
        <v>182</v>
      </c>
      <c r="G16" s="21" t="s">
        <v>188</v>
      </c>
      <c r="H16" s="94" t="s">
        <v>221</v>
      </c>
      <c r="I16" s="21">
        <v>8.8</v>
      </c>
      <c r="J16" s="94" t="s">
        <v>251</v>
      </c>
      <c r="K16" s="21">
        <v>0.93</v>
      </c>
    </row>
    <row r="17" spans="2:11" ht="15" customHeight="1">
      <c r="B17" s="92" t="s">
        <v>124</v>
      </c>
      <c r="C17" s="90">
        <v>4.5</v>
      </c>
      <c r="D17" s="92" t="s">
        <v>155</v>
      </c>
      <c r="E17" s="21">
        <v>1.83</v>
      </c>
      <c r="F17" s="94" t="s">
        <v>185</v>
      </c>
      <c r="G17" s="21" t="s">
        <v>186</v>
      </c>
      <c r="H17" s="94" t="s">
        <v>222</v>
      </c>
      <c r="I17" s="21" t="s">
        <v>223</v>
      </c>
      <c r="J17" s="94" t="s">
        <v>252</v>
      </c>
      <c r="K17" s="21">
        <v>1.5</v>
      </c>
    </row>
    <row r="18" spans="2:11" ht="15" customHeight="1">
      <c r="B18" s="92" t="s">
        <v>125</v>
      </c>
      <c r="C18" s="90">
        <v>8.8</v>
      </c>
      <c r="D18" s="92" t="s">
        <v>156</v>
      </c>
      <c r="E18" s="21">
        <v>0.86</v>
      </c>
      <c r="F18" s="94" t="s">
        <v>183</v>
      </c>
      <c r="G18" s="21" t="s">
        <v>189</v>
      </c>
      <c r="H18" s="94" t="s">
        <v>224</v>
      </c>
      <c r="I18" s="21" t="s">
        <v>225</v>
      </c>
      <c r="J18" s="94" t="s">
        <v>253</v>
      </c>
      <c r="K18" s="21">
        <v>0.33</v>
      </c>
    </row>
    <row r="19" spans="2:11" ht="15" customHeight="1">
      <c r="B19" s="92" t="s">
        <v>126</v>
      </c>
      <c r="C19" s="90">
        <v>8.9</v>
      </c>
      <c r="D19" s="92" t="s">
        <v>157</v>
      </c>
      <c r="E19" s="21">
        <v>2.1</v>
      </c>
      <c r="F19" s="94" t="s">
        <v>184</v>
      </c>
      <c r="G19" s="21" t="s">
        <v>187</v>
      </c>
      <c r="H19" s="94" t="s">
        <v>226</v>
      </c>
      <c r="I19" s="21" t="s">
        <v>227</v>
      </c>
      <c r="J19" s="94" t="s">
        <v>254</v>
      </c>
      <c r="K19" s="21">
        <v>2.15</v>
      </c>
    </row>
    <row r="20" spans="2:11" ht="15" customHeight="1">
      <c r="B20" s="92" t="s">
        <v>127</v>
      </c>
      <c r="C20" s="90">
        <v>3.1</v>
      </c>
      <c r="D20" s="92" t="s">
        <v>158</v>
      </c>
      <c r="E20" s="21">
        <v>1.27</v>
      </c>
      <c r="F20" s="94" t="s">
        <v>191</v>
      </c>
      <c r="G20" s="21" t="s">
        <v>192</v>
      </c>
      <c r="H20" s="94" t="s">
        <v>228</v>
      </c>
      <c r="I20" s="21">
        <v>0.86</v>
      </c>
      <c r="J20" s="94" t="s">
        <v>255</v>
      </c>
      <c r="K20" s="21">
        <v>1.8</v>
      </c>
    </row>
    <row r="21" spans="2:11" ht="15" customHeight="1">
      <c r="B21" s="92" t="s">
        <v>128</v>
      </c>
      <c r="C21" s="90">
        <v>0.89</v>
      </c>
      <c r="D21" s="92" t="s">
        <v>159</v>
      </c>
      <c r="E21" s="21">
        <v>10.5</v>
      </c>
      <c r="F21" s="94" t="s">
        <v>79</v>
      </c>
      <c r="G21" s="21" t="s">
        <v>193</v>
      </c>
      <c r="H21" s="94" t="s">
        <v>229</v>
      </c>
      <c r="I21" s="21">
        <v>21.4</v>
      </c>
      <c r="J21" s="94" t="s">
        <v>256</v>
      </c>
      <c r="K21" s="21">
        <v>1</v>
      </c>
    </row>
    <row r="22" spans="2:11" ht="15" customHeight="1">
      <c r="B22" s="92" t="s">
        <v>129</v>
      </c>
      <c r="C22" s="90">
        <v>0.735</v>
      </c>
      <c r="D22" s="92" t="s">
        <v>160</v>
      </c>
      <c r="E22" s="21">
        <v>1</v>
      </c>
      <c r="F22" s="94" t="s">
        <v>194</v>
      </c>
      <c r="G22" s="21" t="s">
        <v>195</v>
      </c>
      <c r="H22" s="94" t="s">
        <v>230</v>
      </c>
      <c r="I22" s="21">
        <v>0.9</v>
      </c>
      <c r="J22" s="94" t="s">
        <v>257</v>
      </c>
      <c r="K22" s="21">
        <v>1.2</v>
      </c>
    </row>
    <row r="23" spans="2:11" ht="15" customHeight="1">
      <c r="B23" s="92" t="s">
        <v>130</v>
      </c>
      <c r="C23" s="90">
        <v>2.4</v>
      </c>
      <c r="D23" s="92" t="s">
        <v>161</v>
      </c>
      <c r="E23" s="21">
        <v>1.2</v>
      </c>
      <c r="F23" s="94" t="s">
        <v>196</v>
      </c>
      <c r="G23" s="21" t="s">
        <v>197</v>
      </c>
      <c r="H23" s="94" t="s">
        <v>231</v>
      </c>
      <c r="I23" s="21">
        <v>0.8</v>
      </c>
      <c r="J23" s="94"/>
      <c r="K23" s="21"/>
    </row>
    <row r="24" spans="2:11" ht="15" customHeight="1">
      <c r="B24" s="92" t="s">
        <v>131</v>
      </c>
      <c r="C24" s="90" t="s">
        <v>132</v>
      </c>
      <c r="D24" s="92" t="s">
        <v>190</v>
      </c>
      <c r="E24" s="21">
        <v>1</v>
      </c>
      <c r="F24" s="94" t="s">
        <v>198</v>
      </c>
      <c r="G24" s="21">
        <v>1.76</v>
      </c>
      <c r="H24" s="94" t="s">
        <v>232</v>
      </c>
      <c r="I24" s="21">
        <v>5</v>
      </c>
      <c r="J24" s="94"/>
      <c r="K24" s="21"/>
    </row>
    <row r="25" spans="2:11" ht="15" customHeight="1">
      <c r="B25" s="92" t="s">
        <v>133</v>
      </c>
      <c r="C25" s="90">
        <v>0.94</v>
      </c>
      <c r="D25" s="92" t="s">
        <v>162</v>
      </c>
      <c r="E25" s="21">
        <v>3.51</v>
      </c>
      <c r="F25" s="94" t="s">
        <v>199</v>
      </c>
      <c r="G25" s="21">
        <v>1.42</v>
      </c>
      <c r="H25" s="94" t="s">
        <v>233</v>
      </c>
      <c r="I25" s="21">
        <v>0.96</v>
      </c>
      <c r="J25" s="94"/>
      <c r="K25" s="21"/>
    </row>
    <row r="26" spans="2:11" ht="15" customHeight="1">
      <c r="B26" s="92" t="s">
        <v>134</v>
      </c>
      <c r="C26" s="90">
        <v>8.85</v>
      </c>
      <c r="D26" s="92" t="s">
        <v>163</v>
      </c>
      <c r="E26" s="21" t="s">
        <v>164</v>
      </c>
      <c r="F26" s="94" t="s">
        <v>200</v>
      </c>
      <c r="G26" s="21">
        <v>1.6</v>
      </c>
      <c r="H26" s="94" t="s">
        <v>234</v>
      </c>
      <c r="I26" s="21">
        <v>2.34</v>
      </c>
      <c r="J26" s="94"/>
      <c r="K26" s="21"/>
    </row>
    <row r="27" spans="2:11" ht="15" customHeight="1">
      <c r="B27" s="92" t="s">
        <v>135</v>
      </c>
      <c r="C27" s="90">
        <v>1.75</v>
      </c>
      <c r="D27" s="92" t="s">
        <v>165</v>
      </c>
      <c r="E27" s="21">
        <v>1.2</v>
      </c>
      <c r="F27" s="94" t="s">
        <v>201</v>
      </c>
      <c r="G27" s="21">
        <v>1.8</v>
      </c>
      <c r="H27" s="94" t="s">
        <v>235</v>
      </c>
      <c r="I27" s="21">
        <v>1.68</v>
      </c>
      <c r="J27" s="94"/>
      <c r="K27" s="21"/>
    </row>
    <row r="28" spans="2:11" ht="15" customHeight="1">
      <c r="B28" s="92" t="s">
        <v>136</v>
      </c>
      <c r="C28" s="90">
        <v>0.922</v>
      </c>
      <c r="D28" s="92" t="s">
        <v>166</v>
      </c>
      <c r="E28" s="21">
        <v>1.2</v>
      </c>
      <c r="F28" s="94" t="s">
        <v>202</v>
      </c>
      <c r="G28" s="21" t="s">
        <v>203</v>
      </c>
      <c r="H28" s="94" t="s">
        <v>236</v>
      </c>
      <c r="I28" s="21">
        <v>1</v>
      </c>
      <c r="J28" s="94"/>
      <c r="K28" s="21"/>
    </row>
    <row r="29" spans="2:11" ht="15" customHeight="1" thickBot="1">
      <c r="B29" s="93" t="s">
        <v>137</v>
      </c>
      <c r="C29" s="91">
        <v>3.14</v>
      </c>
      <c r="D29" s="93" t="s">
        <v>167</v>
      </c>
      <c r="E29" s="22">
        <v>7.29</v>
      </c>
      <c r="F29" s="95" t="s">
        <v>204</v>
      </c>
      <c r="G29" s="22">
        <v>11.32</v>
      </c>
      <c r="H29" s="95" t="s">
        <v>237</v>
      </c>
      <c r="I29" s="22">
        <v>1.026</v>
      </c>
      <c r="J29" s="95"/>
      <c r="K29" s="22"/>
    </row>
    <row r="30" ht="15" customHeight="1" thickTop="1"/>
    <row r="31" ht="15" customHeight="1"/>
    <row r="32" ht="15" customHeight="1"/>
    <row r="33" ht="15" customHeight="1"/>
    <row r="34" ht="15" customHeight="1"/>
  </sheetData>
  <sheetProtection/>
  <mergeCells count="1">
    <mergeCell ref="B1:K1"/>
  </mergeCells>
  <printOptions/>
  <pageMargins left="0.9448818897637796" right="0.35433070866141736" top="0.984251968503937" bottom="0.3937007874015748" header="0.5118110236220472" footer="0.5118110236220472"/>
  <pageSetup orientation="landscape" paperSize="9" scale="80" r:id="rId1"/>
</worksheet>
</file>

<file path=xl/worksheets/sheet18.xml><?xml version="1.0" encoding="utf-8"?>
<worksheet xmlns="http://schemas.openxmlformats.org/spreadsheetml/2006/main" xmlns:r="http://schemas.openxmlformats.org/officeDocument/2006/relationships">
  <sheetPr>
    <tabColor indexed="17"/>
  </sheetPr>
  <dimension ref="B1:F151"/>
  <sheetViews>
    <sheetView zoomScalePageLayoutView="0" workbookViewId="0" topLeftCell="A1">
      <selection activeCell="B3" sqref="B3:E3"/>
    </sheetView>
  </sheetViews>
  <sheetFormatPr defaultColWidth="9.125" defaultRowHeight="12.75"/>
  <cols>
    <col min="1" max="1" width="2.625" style="161" customWidth="1"/>
    <col min="2" max="2" width="60.625" style="161" customWidth="1"/>
    <col min="3" max="6" width="15.625" style="161" customWidth="1"/>
    <col min="7" max="16384" width="9.125" style="161" customWidth="1"/>
  </cols>
  <sheetData>
    <row r="1" spans="2:5" ht="19.5" customHeight="1">
      <c r="B1" s="162" t="s">
        <v>411</v>
      </c>
      <c r="C1" s="162"/>
      <c r="D1" s="162"/>
      <c r="E1" s="159"/>
    </row>
    <row r="2" spans="2:5" ht="19.5" customHeight="1">
      <c r="B2" s="160"/>
      <c r="C2" s="160"/>
      <c r="D2" s="160"/>
      <c r="E2" s="159"/>
    </row>
    <row r="3" spans="2:5" ht="19.5" customHeight="1">
      <c r="B3" s="359" t="s">
        <v>654</v>
      </c>
      <c r="C3" s="359"/>
      <c r="D3" s="359"/>
      <c r="E3" s="359"/>
    </row>
    <row r="4" spans="2:5" ht="19.5" customHeight="1">
      <c r="B4" s="359"/>
      <c r="C4" s="359"/>
      <c r="D4" s="359"/>
      <c r="E4" s="359"/>
    </row>
    <row r="5" spans="2:5" ht="19.5" customHeight="1">
      <c r="B5" s="162"/>
      <c r="C5" s="162"/>
      <c r="D5" s="162"/>
      <c r="E5" s="159"/>
    </row>
    <row r="6" spans="2:6" ht="45" customHeight="1">
      <c r="B6" s="358" t="s">
        <v>425</v>
      </c>
      <c r="C6" s="358"/>
      <c r="D6" s="358"/>
      <c r="E6" s="358"/>
      <c r="F6" s="358"/>
    </row>
    <row r="7" spans="2:6" ht="19.5" customHeight="1">
      <c r="B7" s="160"/>
      <c r="C7" s="164">
        <v>2004</v>
      </c>
      <c r="D7" s="164">
        <v>2005</v>
      </c>
      <c r="E7" s="166">
        <v>2006</v>
      </c>
      <c r="F7" s="164">
        <v>2007</v>
      </c>
    </row>
    <row r="8" spans="2:6" ht="19.5" customHeight="1">
      <c r="B8" s="160"/>
      <c r="C8" s="361" t="s">
        <v>421</v>
      </c>
      <c r="D8" s="361"/>
      <c r="E8" s="361"/>
      <c r="F8" s="361"/>
    </row>
    <row r="9" spans="2:6" ht="19.5" customHeight="1">
      <c r="B9" s="162" t="s">
        <v>422</v>
      </c>
      <c r="C9" s="362" t="s">
        <v>423</v>
      </c>
      <c r="D9" s="362"/>
      <c r="E9" s="362"/>
      <c r="F9" s="362"/>
    </row>
    <row r="10" spans="2:5" ht="19.5" customHeight="1">
      <c r="B10" s="162" t="s">
        <v>412</v>
      </c>
      <c r="C10" s="162"/>
      <c r="D10" s="162"/>
      <c r="E10" s="159"/>
    </row>
    <row r="11" spans="2:6" ht="19.5" customHeight="1">
      <c r="B11" s="162" t="s">
        <v>424</v>
      </c>
      <c r="C11" s="165">
        <v>46</v>
      </c>
      <c r="D11" s="165">
        <v>51</v>
      </c>
      <c r="E11" s="165">
        <v>54</v>
      </c>
      <c r="F11" s="165"/>
    </row>
    <row r="12" spans="2:5" ht="19.5" customHeight="1">
      <c r="B12" s="163" t="s">
        <v>426</v>
      </c>
      <c r="C12" s="163"/>
      <c r="D12" s="163"/>
      <c r="E12" s="159"/>
    </row>
    <row r="13" spans="2:5" ht="19.5" customHeight="1">
      <c r="B13" s="163" t="s">
        <v>427</v>
      </c>
      <c r="C13" s="163"/>
      <c r="D13" s="163"/>
      <c r="E13" s="159"/>
    </row>
    <row r="14" spans="2:5" ht="19.5" customHeight="1">
      <c r="B14" s="163" t="s">
        <v>428</v>
      </c>
      <c r="C14" s="163"/>
      <c r="D14" s="163"/>
      <c r="E14" s="159"/>
    </row>
    <row r="15" spans="2:5" ht="19.5" customHeight="1">
      <c r="B15" s="163" t="s">
        <v>429</v>
      </c>
      <c r="C15" s="163"/>
      <c r="D15" s="163"/>
      <c r="E15" s="159"/>
    </row>
    <row r="16" spans="2:5" ht="19.5" customHeight="1">
      <c r="B16" s="163" t="s">
        <v>430</v>
      </c>
      <c r="C16" s="163"/>
      <c r="D16" s="163"/>
      <c r="E16" s="159"/>
    </row>
    <row r="17" spans="2:5" ht="19.5" customHeight="1">
      <c r="B17" s="163" t="s">
        <v>431</v>
      </c>
      <c r="C17" s="163"/>
      <c r="D17" s="163"/>
      <c r="E17" s="159"/>
    </row>
    <row r="18" spans="2:5" ht="19.5" customHeight="1">
      <c r="B18" s="163" t="s">
        <v>432</v>
      </c>
      <c r="C18" s="163"/>
      <c r="D18" s="163"/>
      <c r="E18" s="159"/>
    </row>
    <row r="19" spans="2:5" ht="19.5" customHeight="1">
      <c r="B19" s="163" t="s">
        <v>433</v>
      </c>
      <c r="C19" s="163"/>
      <c r="D19" s="163"/>
      <c r="E19" s="159"/>
    </row>
    <row r="20" spans="2:6" ht="19.5" customHeight="1">
      <c r="B20" s="162" t="s">
        <v>535</v>
      </c>
      <c r="C20" s="165">
        <v>80</v>
      </c>
      <c r="D20" s="165">
        <v>89</v>
      </c>
      <c r="E20" s="165">
        <v>94</v>
      </c>
      <c r="F20" s="165"/>
    </row>
    <row r="21" spans="2:5" ht="19.5" customHeight="1">
      <c r="B21" s="160" t="s">
        <v>414</v>
      </c>
      <c r="C21" s="160"/>
      <c r="D21" s="160"/>
      <c r="E21" s="159"/>
    </row>
    <row r="22" spans="2:5" ht="19.5" customHeight="1">
      <c r="B22" s="160" t="s">
        <v>415</v>
      </c>
      <c r="C22" s="160"/>
      <c r="D22" s="160"/>
      <c r="E22" s="159"/>
    </row>
    <row r="23" spans="2:5" ht="19.5" customHeight="1">
      <c r="B23" s="160" t="s">
        <v>416</v>
      </c>
      <c r="C23" s="160"/>
      <c r="D23" s="160"/>
      <c r="E23" s="159"/>
    </row>
    <row r="24" spans="2:5" ht="19.5" customHeight="1">
      <c r="B24" s="160" t="s">
        <v>413</v>
      </c>
      <c r="C24" s="160"/>
      <c r="D24" s="160"/>
      <c r="E24" s="159"/>
    </row>
    <row r="25" spans="2:5" ht="19.5" customHeight="1">
      <c r="B25" s="162" t="s">
        <v>417</v>
      </c>
      <c r="C25" s="162"/>
      <c r="D25" s="162"/>
      <c r="E25" s="159"/>
    </row>
    <row r="26" spans="2:6" ht="19.5" customHeight="1">
      <c r="B26" s="162" t="s">
        <v>536</v>
      </c>
      <c r="C26" s="165">
        <v>127</v>
      </c>
      <c r="D26" s="165">
        <v>141</v>
      </c>
      <c r="E26" s="165">
        <v>149</v>
      </c>
      <c r="F26" s="165"/>
    </row>
    <row r="27" spans="2:5" ht="19.5" customHeight="1">
      <c r="B27" s="163" t="s">
        <v>434</v>
      </c>
      <c r="C27" s="163"/>
      <c r="D27" s="163"/>
      <c r="E27" s="159"/>
    </row>
    <row r="28" spans="2:5" ht="19.5" customHeight="1">
      <c r="B28" s="163" t="s">
        <v>435</v>
      </c>
      <c r="C28" s="163"/>
      <c r="D28" s="163"/>
      <c r="E28" s="159"/>
    </row>
    <row r="29" spans="2:5" ht="19.5" customHeight="1">
      <c r="B29" s="163" t="s">
        <v>436</v>
      </c>
      <c r="C29" s="163"/>
      <c r="D29" s="163"/>
      <c r="E29" s="159"/>
    </row>
    <row r="30" spans="2:5" ht="19.5" customHeight="1">
      <c r="B30" s="163" t="s">
        <v>433</v>
      </c>
      <c r="C30" s="163"/>
      <c r="D30" s="163"/>
      <c r="E30" s="159"/>
    </row>
    <row r="31" spans="2:6" ht="19.5" customHeight="1">
      <c r="B31" s="162" t="s">
        <v>537</v>
      </c>
      <c r="C31" s="165">
        <v>173</v>
      </c>
      <c r="D31" s="165">
        <v>193</v>
      </c>
      <c r="E31" s="165">
        <v>205</v>
      </c>
      <c r="F31" s="165"/>
    </row>
    <row r="32" spans="2:5" ht="19.5" customHeight="1">
      <c r="B32" s="163" t="s">
        <v>437</v>
      </c>
      <c r="C32" s="163"/>
      <c r="D32" s="163"/>
      <c r="E32" s="159"/>
    </row>
    <row r="33" spans="2:5" ht="19.5" customHeight="1">
      <c r="B33" s="163" t="s">
        <v>438</v>
      </c>
      <c r="C33" s="163"/>
      <c r="D33" s="163"/>
      <c r="E33" s="159"/>
    </row>
    <row r="34" spans="2:5" ht="19.5" customHeight="1">
      <c r="B34" s="163" t="s">
        <v>439</v>
      </c>
      <c r="C34" s="163"/>
      <c r="D34" s="163"/>
      <c r="E34" s="159"/>
    </row>
    <row r="35" spans="2:5" ht="19.5" customHeight="1">
      <c r="B35" s="163" t="s">
        <v>440</v>
      </c>
      <c r="C35" s="163"/>
      <c r="D35" s="163"/>
      <c r="E35" s="159"/>
    </row>
    <row r="36" spans="2:5" ht="19.5" customHeight="1">
      <c r="B36" s="163" t="s">
        <v>441</v>
      </c>
      <c r="C36" s="163"/>
      <c r="D36" s="163"/>
      <c r="E36" s="159"/>
    </row>
    <row r="37" spans="2:5" ht="19.5" customHeight="1">
      <c r="B37" s="163" t="s">
        <v>442</v>
      </c>
      <c r="C37" s="163"/>
      <c r="D37" s="163"/>
      <c r="E37" s="159"/>
    </row>
    <row r="38" spans="2:5" ht="19.5" customHeight="1">
      <c r="B38" s="163" t="s">
        <v>443</v>
      </c>
      <c r="C38" s="163"/>
      <c r="D38" s="163"/>
      <c r="E38" s="159"/>
    </row>
    <row r="39" spans="2:5" ht="19.5" customHeight="1">
      <c r="B39" s="163" t="s">
        <v>444</v>
      </c>
      <c r="C39" s="163"/>
      <c r="D39" s="163"/>
      <c r="E39" s="159"/>
    </row>
    <row r="40" spans="2:5" ht="19.5" customHeight="1">
      <c r="B40" s="163" t="s">
        <v>445</v>
      </c>
      <c r="C40" s="163"/>
      <c r="D40" s="163"/>
      <c r="E40" s="159"/>
    </row>
    <row r="41" spans="2:5" ht="19.5" customHeight="1">
      <c r="B41" s="163" t="s">
        <v>433</v>
      </c>
      <c r="C41" s="163"/>
      <c r="D41" s="163"/>
      <c r="E41" s="159"/>
    </row>
    <row r="42" spans="2:5" ht="19.5" customHeight="1">
      <c r="B42" s="162" t="s">
        <v>418</v>
      </c>
      <c r="C42" s="162"/>
      <c r="D42" s="162"/>
      <c r="E42" s="159"/>
    </row>
    <row r="43" spans="2:6" ht="19.5" customHeight="1">
      <c r="B43" s="162" t="s">
        <v>538</v>
      </c>
      <c r="C43" s="165">
        <v>283</v>
      </c>
      <c r="D43" s="165">
        <v>315</v>
      </c>
      <c r="E43" s="165">
        <v>334</v>
      </c>
      <c r="F43" s="165"/>
    </row>
    <row r="44" spans="2:5" ht="19.5" customHeight="1">
      <c r="B44" s="163" t="s">
        <v>446</v>
      </c>
      <c r="C44" s="163"/>
      <c r="D44" s="163"/>
      <c r="E44" s="159"/>
    </row>
    <row r="45" spans="2:5" ht="19.5" customHeight="1">
      <c r="B45" s="163" t="s">
        <v>447</v>
      </c>
      <c r="C45" s="163"/>
      <c r="D45" s="163"/>
      <c r="E45" s="159"/>
    </row>
    <row r="46" spans="2:5" ht="19.5" customHeight="1">
      <c r="B46" s="163" t="s">
        <v>448</v>
      </c>
      <c r="C46" s="163"/>
      <c r="D46" s="163"/>
      <c r="E46" s="159"/>
    </row>
    <row r="47" spans="2:5" ht="19.5" customHeight="1">
      <c r="B47" s="163" t="s">
        <v>449</v>
      </c>
      <c r="C47" s="163"/>
      <c r="D47" s="163"/>
      <c r="E47" s="159"/>
    </row>
    <row r="48" spans="2:5" ht="19.5" customHeight="1">
      <c r="B48" s="163" t="s">
        <v>450</v>
      </c>
      <c r="C48" s="163"/>
      <c r="D48" s="163"/>
      <c r="E48" s="159"/>
    </row>
    <row r="49" spans="2:5" ht="19.5" customHeight="1">
      <c r="B49" s="163" t="s">
        <v>451</v>
      </c>
      <c r="C49" s="163"/>
      <c r="D49" s="163"/>
      <c r="E49" s="159"/>
    </row>
    <row r="50" spans="2:5" ht="19.5" customHeight="1">
      <c r="B50" s="163" t="s">
        <v>452</v>
      </c>
      <c r="C50" s="163"/>
      <c r="D50" s="163"/>
      <c r="E50" s="159"/>
    </row>
    <row r="51" spans="2:5" ht="19.5" customHeight="1">
      <c r="B51" s="163" t="s">
        <v>453</v>
      </c>
      <c r="C51" s="163"/>
      <c r="D51" s="163"/>
      <c r="E51" s="159"/>
    </row>
    <row r="52" spans="2:5" ht="19.5" customHeight="1">
      <c r="B52" s="163" t="s">
        <v>454</v>
      </c>
      <c r="C52" s="163"/>
      <c r="D52" s="163"/>
      <c r="E52" s="159"/>
    </row>
    <row r="53" spans="2:5" ht="19.5" customHeight="1">
      <c r="B53" s="163" t="s">
        <v>455</v>
      </c>
      <c r="C53" s="163"/>
      <c r="D53" s="163"/>
      <c r="E53" s="159"/>
    </row>
    <row r="54" spans="2:5" ht="19.5" customHeight="1">
      <c r="B54" s="163" t="s">
        <v>456</v>
      </c>
      <c r="C54" s="163"/>
      <c r="D54" s="163"/>
      <c r="E54" s="159"/>
    </row>
    <row r="55" spans="2:5" ht="19.5" customHeight="1">
      <c r="B55" s="163" t="s">
        <v>457</v>
      </c>
      <c r="C55" s="163"/>
      <c r="D55" s="163"/>
      <c r="E55" s="159"/>
    </row>
    <row r="56" spans="2:5" ht="19.5" customHeight="1">
      <c r="B56" s="163" t="s">
        <v>458</v>
      </c>
      <c r="C56" s="163"/>
      <c r="D56" s="163"/>
      <c r="E56" s="159"/>
    </row>
    <row r="57" spans="2:6" ht="19.5" customHeight="1">
      <c r="B57" s="162" t="s">
        <v>539</v>
      </c>
      <c r="C57" s="165">
        <v>322</v>
      </c>
      <c r="D57" s="165">
        <v>359</v>
      </c>
      <c r="E57" s="165">
        <v>381</v>
      </c>
      <c r="F57" s="165"/>
    </row>
    <row r="58" spans="2:5" ht="19.5" customHeight="1">
      <c r="B58" s="163" t="s">
        <v>460</v>
      </c>
      <c r="C58" s="163"/>
      <c r="D58" s="163"/>
      <c r="E58" s="159"/>
    </row>
    <row r="59" spans="2:5" ht="19.5" customHeight="1">
      <c r="B59" s="163" t="s">
        <v>461</v>
      </c>
      <c r="C59" s="163"/>
      <c r="D59" s="163"/>
      <c r="E59" s="159"/>
    </row>
    <row r="60" spans="2:5" ht="19.5" customHeight="1">
      <c r="B60" s="163" t="s">
        <v>462</v>
      </c>
      <c r="C60" s="163"/>
      <c r="D60" s="163"/>
      <c r="E60" s="159"/>
    </row>
    <row r="61" spans="2:5" ht="19.5" customHeight="1">
      <c r="B61" s="163" t="s">
        <v>463</v>
      </c>
      <c r="C61" s="163"/>
      <c r="D61" s="163"/>
      <c r="E61" s="159"/>
    </row>
    <row r="62" spans="2:5" ht="19.5" customHeight="1">
      <c r="B62" s="163" t="s">
        <v>464</v>
      </c>
      <c r="C62" s="163"/>
      <c r="D62" s="163"/>
      <c r="E62" s="159"/>
    </row>
    <row r="63" spans="2:5" ht="19.5" customHeight="1">
      <c r="B63" s="163" t="s">
        <v>465</v>
      </c>
      <c r="C63" s="163"/>
      <c r="D63" s="163"/>
      <c r="E63" s="159"/>
    </row>
    <row r="64" spans="2:5" ht="19.5" customHeight="1">
      <c r="B64" s="163" t="s">
        <v>466</v>
      </c>
      <c r="C64" s="163"/>
      <c r="D64" s="163"/>
      <c r="E64" s="159"/>
    </row>
    <row r="65" spans="2:5" ht="19.5" customHeight="1">
      <c r="B65" s="163" t="s">
        <v>467</v>
      </c>
      <c r="C65" s="163"/>
      <c r="D65" s="163"/>
      <c r="E65" s="159"/>
    </row>
    <row r="66" spans="2:5" ht="19.5" customHeight="1">
      <c r="B66" s="163" t="s">
        <v>468</v>
      </c>
      <c r="C66" s="163"/>
      <c r="D66" s="163"/>
      <c r="E66" s="159"/>
    </row>
    <row r="67" spans="2:5" ht="19.5" customHeight="1">
      <c r="B67" s="163" t="s">
        <v>469</v>
      </c>
      <c r="C67" s="163"/>
      <c r="D67" s="163"/>
      <c r="E67" s="159"/>
    </row>
    <row r="68" spans="2:5" ht="19.5" customHeight="1">
      <c r="B68" s="163" t="s">
        <v>470</v>
      </c>
      <c r="C68" s="163"/>
      <c r="D68" s="163"/>
      <c r="E68" s="159"/>
    </row>
    <row r="69" spans="2:5" ht="19.5" customHeight="1">
      <c r="B69" s="163" t="s">
        <v>471</v>
      </c>
      <c r="C69" s="163"/>
      <c r="D69" s="163"/>
      <c r="E69" s="159"/>
    </row>
    <row r="70" spans="2:5" ht="19.5" customHeight="1">
      <c r="B70" s="163" t="s">
        <v>472</v>
      </c>
      <c r="C70" s="163"/>
      <c r="D70" s="163"/>
      <c r="E70" s="159"/>
    </row>
    <row r="71" spans="2:5" ht="19.5" customHeight="1">
      <c r="B71" s="163" t="s">
        <v>473</v>
      </c>
      <c r="C71" s="163"/>
      <c r="D71" s="163"/>
      <c r="E71" s="159"/>
    </row>
    <row r="72" spans="2:5" ht="19.5" customHeight="1">
      <c r="B72" s="163" t="s">
        <v>474</v>
      </c>
      <c r="C72" s="163"/>
      <c r="D72" s="163"/>
      <c r="E72" s="159"/>
    </row>
    <row r="73" spans="2:5" ht="19.5" customHeight="1">
      <c r="B73" s="163" t="s">
        <v>475</v>
      </c>
      <c r="C73" s="163"/>
      <c r="D73" s="163"/>
      <c r="E73" s="159"/>
    </row>
    <row r="74" spans="2:5" ht="19.5" customHeight="1">
      <c r="B74" s="163" t="s">
        <v>476</v>
      </c>
      <c r="C74" s="163"/>
      <c r="D74" s="163"/>
      <c r="E74" s="159"/>
    </row>
    <row r="75" spans="2:5" ht="19.5" customHeight="1">
      <c r="B75" s="163" t="s">
        <v>477</v>
      </c>
      <c r="C75" s="163"/>
      <c r="D75" s="163"/>
      <c r="E75" s="159"/>
    </row>
    <row r="76" spans="2:5" ht="19.5" customHeight="1">
      <c r="B76" s="163" t="s">
        <v>478</v>
      </c>
      <c r="C76" s="163"/>
      <c r="D76" s="163"/>
      <c r="E76" s="159"/>
    </row>
    <row r="77" spans="2:5" ht="19.5" customHeight="1">
      <c r="B77" s="163" t="s">
        <v>479</v>
      </c>
      <c r="C77" s="163"/>
      <c r="D77" s="163"/>
      <c r="E77" s="159"/>
    </row>
    <row r="78" spans="2:5" ht="19.5" customHeight="1">
      <c r="B78" s="163" t="s">
        <v>480</v>
      </c>
      <c r="C78" s="163"/>
      <c r="D78" s="163"/>
      <c r="E78" s="159"/>
    </row>
    <row r="79" spans="2:5" ht="19.5" customHeight="1">
      <c r="B79" s="163" t="s">
        <v>481</v>
      </c>
      <c r="C79" s="163"/>
      <c r="D79" s="163"/>
      <c r="E79" s="159"/>
    </row>
    <row r="80" spans="2:5" ht="19.5" customHeight="1">
      <c r="B80" s="163" t="s">
        <v>482</v>
      </c>
      <c r="C80" s="163"/>
      <c r="D80" s="163"/>
      <c r="E80" s="159"/>
    </row>
    <row r="81" spans="2:5" ht="19.5" customHeight="1">
      <c r="B81" s="163" t="s">
        <v>458</v>
      </c>
      <c r="C81" s="163"/>
      <c r="D81" s="163"/>
      <c r="E81" s="159"/>
    </row>
    <row r="82" spans="2:5" ht="19.5" customHeight="1">
      <c r="B82" s="162" t="s">
        <v>419</v>
      </c>
      <c r="C82" s="162"/>
      <c r="D82" s="162"/>
      <c r="E82" s="159"/>
    </row>
    <row r="83" spans="2:6" ht="19.5" customHeight="1">
      <c r="B83" s="162" t="s">
        <v>540</v>
      </c>
      <c r="C83" s="165">
        <v>364</v>
      </c>
      <c r="D83" s="165">
        <v>406</v>
      </c>
      <c r="E83" s="165">
        <v>430</v>
      </c>
      <c r="F83" s="165"/>
    </row>
    <row r="84" spans="2:5" ht="19.5" customHeight="1">
      <c r="B84" s="163" t="s">
        <v>483</v>
      </c>
      <c r="C84" s="163"/>
      <c r="D84" s="163"/>
      <c r="E84" s="159"/>
    </row>
    <row r="85" spans="2:5" ht="19.5" customHeight="1">
      <c r="B85" s="163" t="s">
        <v>484</v>
      </c>
      <c r="C85" s="163"/>
      <c r="D85" s="163"/>
      <c r="E85" s="159"/>
    </row>
    <row r="86" spans="2:5" ht="19.5" customHeight="1">
      <c r="B86" s="163" t="s">
        <v>485</v>
      </c>
      <c r="C86" s="163"/>
      <c r="D86" s="163"/>
      <c r="E86" s="159"/>
    </row>
    <row r="87" spans="2:5" ht="19.5" customHeight="1">
      <c r="B87" s="163" t="s">
        <v>486</v>
      </c>
      <c r="C87" s="163"/>
      <c r="D87" s="163"/>
      <c r="E87" s="159"/>
    </row>
    <row r="88" spans="2:5" ht="19.5" customHeight="1">
      <c r="B88" s="163" t="s">
        <v>487</v>
      </c>
      <c r="C88" s="163"/>
      <c r="D88" s="163"/>
      <c r="E88" s="159"/>
    </row>
    <row r="89" spans="2:5" ht="19.5" customHeight="1">
      <c r="B89" s="163" t="s">
        <v>488</v>
      </c>
      <c r="C89" s="163"/>
      <c r="D89" s="163"/>
      <c r="E89" s="159"/>
    </row>
    <row r="90" spans="2:5" ht="19.5" customHeight="1">
      <c r="B90" s="163" t="s">
        <v>489</v>
      </c>
      <c r="C90" s="163"/>
      <c r="D90" s="163"/>
      <c r="E90" s="159"/>
    </row>
    <row r="91" spans="2:5" ht="19.5" customHeight="1">
      <c r="B91" s="163" t="s">
        <v>490</v>
      </c>
      <c r="C91" s="163"/>
      <c r="D91" s="163"/>
      <c r="E91" s="159"/>
    </row>
    <row r="92" spans="2:5" ht="19.5" customHeight="1">
      <c r="B92" s="163" t="s">
        <v>491</v>
      </c>
      <c r="C92" s="163"/>
      <c r="D92" s="163"/>
      <c r="E92" s="159"/>
    </row>
    <row r="93" spans="2:5" ht="19.5" customHeight="1">
      <c r="B93" s="163" t="s">
        <v>492</v>
      </c>
      <c r="C93" s="163"/>
      <c r="D93" s="163"/>
      <c r="E93" s="159"/>
    </row>
    <row r="94" spans="2:5" ht="19.5" customHeight="1">
      <c r="B94" s="163" t="s">
        <v>493</v>
      </c>
      <c r="C94" s="163"/>
      <c r="D94" s="163"/>
      <c r="E94" s="159"/>
    </row>
    <row r="95" spans="2:5" ht="19.5" customHeight="1">
      <c r="B95" s="163" t="s">
        <v>494</v>
      </c>
      <c r="C95" s="163"/>
      <c r="D95" s="163"/>
      <c r="E95" s="159"/>
    </row>
    <row r="96" spans="2:5" ht="19.5" customHeight="1">
      <c r="B96" s="163" t="s">
        <v>495</v>
      </c>
      <c r="C96" s="163"/>
      <c r="D96" s="163"/>
      <c r="E96" s="159"/>
    </row>
    <row r="97" spans="2:5" ht="19.5" customHeight="1">
      <c r="B97" s="163" t="s">
        <v>496</v>
      </c>
      <c r="C97" s="163"/>
      <c r="D97" s="163"/>
      <c r="E97" s="159"/>
    </row>
    <row r="98" spans="2:5" ht="19.5" customHeight="1">
      <c r="B98" s="163" t="s">
        <v>497</v>
      </c>
      <c r="C98" s="163"/>
      <c r="D98" s="163"/>
      <c r="E98" s="159"/>
    </row>
    <row r="99" spans="2:5" ht="19.5" customHeight="1">
      <c r="B99" s="163" t="s">
        <v>433</v>
      </c>
      <c r="C99" s="163"/>
      <c r="D99" s="163"/>
      <c r="E99" s="159"/>
    </row>
    <row r="100" spans="2:6" ht="19.5" customHeight="1">
      <c r="B100" s="162" t="s">
        <v>541</v>
      </c>
      <c r="C100" s="165">
        <v>402</v>
      </c>
      <c r="D100" s="165">
        <v>448</v>
      </c>
      <c r="E100" s="165">
        <v>475</v>
      </c>
      <c r="F100" s="165"/>
    </row>
    <row r="101" spans="2:5" ht="19.5" customHeight="1">
      <c r="B101" s="163" t="s">
        <v>498</v>
      </c>
      <c r="C101" s="163"/>
      <c r="D101" s="163"/>
      <c r="E101" s="159"/>
    </row>
    <row r="102" spans="2:5" ht="19.5" customHeight="1">
      <c r="B102" s="163" t="s">
        <v>499</v>
      </c>
      <c r="C102" s="163"/>
      <c r="D102" s="163"/>
      <c r="E102" s="159"/>
    </row>
    <row r="103" spans="2:5" ht="19.5" customHeight="1">
      <c r="B103" s="163" t="s">
        <v>500</v>
      </c>
      <c r="C103" s="163"/>
      <c r="D103" s="163"/>
      <c r="E103" s="159"/>
    </row>
    <row r="104" spans="2:5" ht="19.5" customHeight="1">
      <c r="B104" s="163" t="s">
        <v>501</v>
      </c>
      <c r="C104" s="163"/>
      <c r="D104" s="163"/>
      <c r="E104" s="159"/>
    </row>
    <row r="105" spans="2:5" ht="19.5" customHeight="1">
      <c r="B105" s="163" t="s">
        <v>502</v>
      </c>
      <c r="C105" s="163"/>
      <c r="D105" s="163"/>
      <c r="E105" s="159"/>
    </row>
    <row r="106" spans="2:5" ht="19.5" customHeight="1">
      <c r="B106" s="163" t="s">
        <v>503</v>
      </c>
      <c r="C106" s="163"/>
      <c r="D106" s="163"/>
      <c r="E106" s="159"/>
    </row>
    <row r="107" spans="2:5" ht="19.5" customHeight="1">
      <c r="B107" s="163" t="s">
        <v>504</v>
      </c>
      <c r="C107" s="163"/>
      <c r="D107" s="163"/>
      <c r="E107" s="159"/>
    </row>
    <row r="108" spans="2:5" ht="19.5" customHeight="1">
      <c r="B108" s="163" t="s">
        <v>505</v>
      </c>
      <c r="C108" s="163"/>
      <c r="D108" s="163"/>
      <c r="E108" s="159"/>
    </row>
    <row r="109" spans="2:5" ht="19.5" customHeight="1">
      <c r="B109" s="163" t="s">
        <v>506</v>
      </c>
      <c r="C109" s="163"/>
      <c r="D109" s="163"/>
      <c r="E109" s="159"/>
    </row>
    <row r="110" spans="2:5" ht="19.5" customHeight="1">
      <c r="B110" s="163" t="s">
        <v>507</v>
      </c>
      <c r="C110" s="163"/>
      <c r="D110" s="163"/>
      <c r="E110" s="159"/>
    </row>
    <row r="111" spans="2:5" ht="19.5" customHeight="1">
      <c r="B111" s="163" t="s">
        <v>508</v>
      </c>
      <c r="C111" s="163"/>
      <c r="D111" s="163"/>
      <c r="E111" s="159"/>
    </row>
    <row r="112" spans="2:5" ht="19.5" customHeight="1">
      <c r="B112" s="163" t="s">
        <v>509</v>
      </c>
      <c r="C112" s="163"/>
      <c r="D112" s="163"/>
      <c r="E112" s="159"/>
    </row>
    <row r="113" spans="2:5" ht="19.5" customHeight="1">
      <c r="B113" s="163" t="s">
        <v>458</v>
      </c>
      <c r="C113" s="163"/>
      <c r="D113" s="163"/>
      <c r="E113" s="159"/>
    </row>
    <row r="114" spans="2:6" ht="19.5" customHeight="1">
      <c r="B114" s="162" t="s">
        <v>542</v>
      </c>
      <c r="C114" s="165">
        <v>483</v>
      </c>
      <c r="D114" s="165">
        <v>539</v>
      </c>
      <c r="E114" s="165">
        <v>571</v>
      </c>
      <c r="F114" s="165"/>
    </row>
    <row r="115" spans="2:5" ht="19.5" customHeight="1">
      <c r="B115" s="163" t="s">
        <v>510</v>
      </c>
      <c r="C115" s="163"/>
      <c r="D115" s="163"/>
      <c r="E115" s="159"/>
    </row>
    <row r="116" spans="2:5" ht="19.5" customHeight="1">
      <c r="B116" s="163" t="s">
        <v>511</v>
      </c>
      <c r="C116" s="163"/>
      <c r="D116" s="163"/>
      <c r="E116" s="159"/>
    </row>
    <row r="117" spans="2:5" ht="19.5" customHeight="1">
      <c r="B117" s="163" t="s">
        <v>512</v>
      </c>
      <c r="C117" s="163"/>
      <c r="D117" s="163"/>
      <c r="E117" s="159"/>
    </row>
    <row r="118" spans="2:5" ht="19.5" customHeight="1">
      <c r="B118" s="163" t="s">
        <v>513</v>
      </c>
      <c r="C118" s="163"/>
      <c r="D118" s="163"/>
      <c r="E118" s="159"/>
    </row>
    <row r="119" spans="2:5" ht="19.5" customHeight="1">
      <c r="B119" s="163" t="s">
        <v>514</v>
      </c>
      <c r="C119" s="163"/>
      <c r="D119" s="163"/>
      <c r="E119" s="159"/>
    </row>
    <row r="120" spans="2:5" ht="19.5" customHeight="1">
      <c r="B120" s="163" t="s">
        <v>515</v>
      </c>
      <c r="C120" s="163"/>
      <c r="D120" s="163"/>
      <c r="E120" s="159"/>
    </row>
    <row r="121" spans="2:5" ht="19.5" customHeight="1">
      <c r="B121" s="163" t="s">
        <v>458</v>
      </c>
      <c r="C121" s="163"/>
      <c r="D121" s="163"/>
      <c r="E121" s="159"/>
    </row>
    <row r="122" spans="2:5" ht="19.5" customHeight="1">
      <c r="B122" s="162" t="s">
        <v>420</v>
      </c>
      <c r="C122" s="162"/>
      <c r="D122" s="162"/>
      <c r="E122" s="159"/>
    </row>
    <row r="123" spans="2:6" ht="19.5" customHeight="1">
      <c r="B123" s="162" t="s">
        <v>543</v>
      </c>
      <c r="C123" s="165">
        <v>599</v>
      </c>
      <c r="D123" s="165">
        <v>668</v>
      </c>
      <c r="E123" s="165">
        <v>708</v>
      </c>
      <c r="F123" s="165"/>
    </row>
    <row r="124" spans="2:5" ht="19.5" customHeight="1">
      <c r="B124" s="163" t="s">
        <v>516</v>
      </c>
      <c r="C124" s="163"/>
      <c r="D124" s="163"/>
      <c r="E124" s="159"/>
    </row>
    <row r="125" spans="2:5" ht="19.5" customHeight="1">
      <c r="B125" s="163" t="s">
        <v>517</v>
      </c>
      <c r="C125" s="163"/>
      <c r="D125" s="163"/>
      <c r="E125" s="159"/>
    </row>
    <row r="126" spans="2:5" ht="19.5" customHeight="1">
      <c r="B126" s="163" t="s">
        <v>518</v>
      </c>
      <c r="C126" s="163"/>
      <c r="D126" s="163"/>
      <c r="E126" s="159"/>
    </row>
    <row r="127" spans="2:5" ht="19.5" customHeight="1">
      <c r="B127" s="163" t="s">
        <v>519</v>
      </c>
      <c r="C127" s="163"/>
      <c r="D127" s="163"/>
      <c r="E127" s="159"/>
    </row>
    <row r="128" spans="2:5" ht="19.5" customHeight="1">
      <c r="B128" s="163" t="s">
        <v>520</v>
      </c>
      <c r="C128" s="163"/>
      <c r="D128" s="163"/>
      <c r="E128" s="159"/>
    </row>
    <row r="129" spans="2:5" ht="19.5" customHeight="1">
      <c r="B129" s="163" t="s">
        <v>521</v>
      </c>
      <c r="C129" s="163"/>
      <c r="D129" s="163"/>
      <c r="E129" s="159"/>
    </row>
    <row r="130" spans="2:5" ht="19.5" customHeight="1">
      <c r="B130" s="163" t="s">
        <v>433</v>
      </c>
      <c r="C130" s="163"/>
      <c r="D130" s="163"/>
      <c r="E130" s="159"/>
    </row>
    <row r="131" spans="2:6" ht="19.5" customHeight="1">
      <c r="B131" s="162" t="s">
        <v>544</v>
      </c>
      <c r="C131" s="165">
        <v>725</v>
      </c>
      <c r="D131" s="165">
        <v>809</v>
      </c>
      <c r="E131" s="165">
        <v>858</v>
      </c>
      <c r="F131" s="165"/>
    </row>
    <row r="132" spans="2:5" ht="19.5" customHeight="1">
      <c r="B132" s="163" t="s">
        <v>522</v>
      </c>
      <c r="C132" s="163"/>
      <c r="D132" s="163"/>
      <c r="E132" s="159"/>
    </row>
    <row r="133" spans="2:5" ht="19.5" customHeight="1">
      <c r="B133" s="163" t="s">
        <v>523</v>
      </c>
      <c r="C133" s="163"/>
      <c r="D133" s="163"/>
      <c r="E133" s="159"/>
    </row>
    <row r="134" spans="2:5" ht="19.5" customHeight="1">
      <c r="B134" s="163" t="s">
        <v>524</v>
      </c>
      <c r="C134" s="163"/>
      <c r="D134" s="163"/>
      <c r="E134" s="159"/>
    </row>
    <row r="135" spans="2:5" ht="19.5" customHeight="1">
      <c r="B135" s="163" t="s">
        <v>525</v>
      </c>
      <c r="C135" s="163"/>
      <c r="D135" s="163"/>
      <c r="E135" s="159"/>
    </row>
    <row r="136" spans="2:5" ht="19.5" customHeight="1">
      <c r="B136" s="163" t="s">
        <v>526</v>
      </c>
      <c r="C136" s="163"/>
      <c r="D136" s="163"/>
      <c r="E136" s="159"/>
    </row>
    <row r="137" spans="2:5" ht="19.5" customHeight="1">
      <c r="B137" s="163" t="s">
        <v>527</v>
      </c>
      <c r="C137" s="163"/>
      <c r="D137" s="163"/>
      <c r="E137" s="159"/>
    </row>
    <row r="138" spans="2:5" ht="19.5" customHeight="1">
      <c r="B138" s="163" t="s">
        <v>458</v>
      </c>
      <c r="C138" s="163"/>
      <c r="D138" s="163"/>
      <c r="E138" s="159"/>
    </row>
    <row r="139" spans="2:6" ht="19.5" customHeight="1">
      <c r="B139" s="162" t="s">
        <v>545</v>
      </c>
      <c r="C139" s="165">
        <v>828</v>
      </c>
      <c r="D139" s="165">
        <v>924</v>
      </c>
      <c r="E139" s="165">
        <v>979</v>
      </c>
      <c r="F139" s="165"/>
    </row>
    <row r="140" spans="2:5" ht="19.5" customHeight="1">
      <c r="B140" s="163" t="s">
        <v>528</v>
      </c>
      <c r="C140" s="163"/>
      <c r="D140" s="163"/>
      <c r="E140" s="159"/>
    </row>
    <row r="141" spans="2:5" ht="19.5" customHeight="1">
      <c r="B141" s="163" t="s">
        <v>529</v>
      </c>
      <c r="C141" s="163"/>
      <c r="D141" s="163"/>
      <c r="E141" s="159"/>
    </row>
    <row r="142" spans="2:5" ht="19.5" customHeight="1">
      <c r="B142" s="163" t="s">
        <v>530</v>
      </c>
      <c r="C142" s="163"/>
      <c r="D142" s="163"/>
      <c r="E142" s="159"/>
    </row>
    <row r="143" spans="2:5" ht="19.5" customHeight="1">
      <c r="B143" s="163" t="s">
        <v>458</v>
      </c>
      <c r="C143" s="163"/>
      <c r="D143" s="163"/>
      <c r="E143" s="159"/>
    </row>
    <row r="144" spans="2:6" ht="19.5" customHeight="1">
      <c r="B144" s="162" t="s">
        <v>546</v>
      </c>
      <c r="C144" s="165">
        <v>989</v>
      </c>
      <c r="D144" s="165">
        <v>1103</v>
      </c>
      <c r="E144" s="165">
        <v>1169</v>
      </c>
      <c r="F144" s="165"/>
    </row>
    <row r="145" spans="2:5" ht="19.5" customHeight="1">
      <c r="B145" s="163" t="s">
        <v>531</v>
      </c>
      <c r="C145" s="163"/>
      <c r="D145" s="163"/>
      <c r="E145" s="159"/>
    </row>
    <row r="146" spans="2:5" ht="19.5" customHeight="1">
      <c r="B146" s="163" t="s">
        <v>532</v>
      </c>
      <c r="C146" s="163"/>
      <c r="D146" s="163"/>
      <c r="E146" s="159"/>
    </row>
    <row r="147" spans="2:5" ht="19.5" customHeight="1">
      <c r="B147" s="163" t="s">
        <v>458</v>
      </c>
      <c r="C147" s="163"/>
      <c r="D147" s="163"/>
      <c r="E147" s="159"/>
    </row>
    <row r="148" spans="2:5" ht="19.5" customHeight="1">
      <c r="B148" s="160"/>
      <c r="C148" s="160"/>
      <c r="D148" s="160"/>
      <c r="E148" s="159"/>
    </row>
    <row r="149" spans="2:5" ht="19.5" customHeight="1">
      <c r="B149" s="160" t="s">
        <v>459</v>
      </c>
      <c r="C149" s="160"/>
      <c r="D149" s="160"/>
      <c r="E149" s="159"/>
    </row>
    <row r="150" spans="2:5" ht="19.5" customHeight="1">
      <c r="B150" s="360" t="s">
        <v>533</v>
      </c>
      <c r="C150" s="360"/>
      <c r="D150" s="360"/>
      <c r="E150" s="360"/>
    </row>
    <row r="151" spans="2:5" ht="45" customHeight="1">
      <c r="B151" s="358" t="s">
        <v>534</v>
      </c>
      <c r="C151" s="358"/>
      <c r="D151" s="358"/>
      <c r="E151" s="358"/>
    </row>
  </sheetData>
  <sheetProtection/>
  <mergeCells count="7">
    <mergeCell ref="B151:E151"/>
    <mergeCell ref="B3:E3"/>
    <mergeCell ref="B4:E4"/>
    <mergeCell ref="B150:E150"/>
    <mergeCell ref="C8:F8"/>
    <mergeCell ref="C9:F9"/>
    <mergeCell ref="B6:F6"/>
  </mergeCells>
  <printOptions/>
  <pageMargins left="0.9448818897637796" right="0.35433070866141736" top="0.984251968503937" bottom="0.3937007874015748" header="0.5118110236220472" footer="0.5118110236220472"/>
  <pageSetup orientation="portrait" paperSize="9" scale="73" r:id="rId1"/>
</worksheet>
</file>

<file path=xl/worksheets/sheet19.xml><?xml version="1.0" encoding="utf-8"?>
<worksheet xmlns="http://schemas.openxmlformats.org/spreadsheetml/2006/main" xmlns:r="http://schemas.openxmlformats.org/officeDocument/2006/relationships">
  <sheetPr>
    <tabColor indexed="54"/>
  </sheetPr>
  <dimension ref="B1:I31"/>
  <sheetViews>
    <sheetView zoomScalePageLayoutView="0" workbookViewId="0" topLeftCell="A1">
      <selection activeCell="G2" sqref="G2:I2"/>
    </sheetView>
  </sheetViews>
  <sheetFormatPr defaultColWidth="9.00390625" defaultRowHeight="12.75"/>
  <cols>
    <col min="1" max="1" width="2.625" style="0" customWidth="1"/>
    <col min="3" max="5" width="20.625" style="0" customWidth="1"/>
    <col min="7" max="7" width="25.625" style="0" customWidth="1"/>
    <col min="8" max="8" width="3.625" style="0" customWidth="1"/>
    <col min="9" max="9" width="25.625" style="0" customWidth="1"/>
    <col min="10" max="10" width="20.625" style="0" customWidth="1"/>
  </cols>
  <sheetData>
    <row r="1" spans="2:5" ht="19.5" customHeight="1" thickBot="1">
      <c r="B1" s="321" t="s">
        <v>710</v>
      </c>
      <c r="C1" s="321"/>
      <c r="D1" s="321"/>
      <c r="E1" s="321"/>
    </row>
    <row r="2" spans="2:9" ht="15" customHeight="1" thickTop="1">
      <c r="B2" s="155" t="s">
        <v>709</v>
      </c>
      <c r="C2" s="156" t="s">
        <v>655</v>
      </c>
      <c r="D2" s="156" t="s">
        <v>656</v>
      </c>
      <c r="E2" s="157" t="s">
        <v>657</v>
      </c>
      <c r="G2" s="363" t="s">
        <v>711</v>
      </c>
      <c r="H2" s="364"/>
      <c r="I2" s="365"/>
    </row>
    <row r="3" spans="2:9" ht="15" customHeight="1">
      <c r="B3" s="262">
        <v>1</v>
      </c>
      <c r="C3" s="263" t="s">
        <v>658</v>
      </c>
      <c r="D3" s="2" t="s">
        <v>659</v>
      </c>
      <c r="E3" s="3" t="s">
        <v>750</v>
      </c>
      <c r="G3" s="267" t="s">
        <v>712</v>
      </c>
      <c r="H3" s="200" t="s">
        <v>713</v>
      </c>
      <c r="I3" s="268" t="s">
        <v>714</v>
      </c>
    </row>
    <row r="4" spans="2:9" ht="15" customHeight="1">
      <c r="B4" s="262">
        <v>2</v>
      </c>
      <c r="C4" s="263" t="s">
        <v>660</v>
      </c>
      <c r="D4" s="2" t="s">
        <v>661</v>
      </c>
      <c r="E4" s="3" t="s">
        <v>662</v>
      </c>
      <c r="G4" s="267" t="s">
        <v>715</v>
      </c>
      <c r="H4" s="200" t="s">
        <v>713</v>
      </c>
      <c r="I4" s="268" t="s">
        <v>716</v>
      </c>
    </row>
    <row r="5" spans="2:9" ht="15" customHeight="1">
      <c r="B5" s="262">
        <v>3</v>
      </c>
      <c r="C5" s="263" t="s">
        <v>663</v>
      </c>
      <c r="D5" s="2" t="s">
        <v>664</v>
      </c>
      <c r="E5" s="3" t="s">
        <v>668</v>
      </c>
      <c r="G5" s="269" t="s">
        <v>717</v>
      </c>
      <c r="H5" s="200" t="s">
        <v>713</v>
      </c>
      <c r="I5" s="268" t="s">
        <v>718</v>
      </c>
    </row>
    <row r="6" spans="2:9" ht="15" customHeight="1">
      <c r="B6" s="262">
        <v>4</v>
      </c>
      <c r="C6" s="263" t="s">
        <v>665</v>
      </c>
      <c r="D6" s="2" t="s">
        <v>666</v>
      </c>
      <c r="E6" s="3" t="s">
        <v>667</v>
      </c>
      <c r="G6" s="269" t="s">
        <v>717</v>
      </c>
      <c r="H6" s="200" t="s">
        <v>713</v>
      </c>
      <c r="I6" s="268" t="s">
        <v>719</v>
      </c>
    </row>
    <row r="7" spans="2:9" ht="15" customHeight="1">
      <c r="B7" s="262">
        <v>5</v>
      </c>
      <c r="C7" s="263" t="s">
        <v>669</v>
      </c>
      <c r="D7" s="2" t="s">
        <v>670</v>
      </c>
      <c r="E7" s="3" t="s">
        <v>670</v>
      </c>
      <c r="G7" s="269" t="s">
        <v>678</v>
      </c>
      <c r="H7" s="200" t="s">
        <v>713</v>
      </c>
      <c r="I7" s="268" t="s">
        <v>720</v>
      </c>
    </row>
    <row r="8" spans="2:9" ht="15" customHeight="1">
      <c r="B8" s="262">
        <v>6</v>
      </c>
      <c r="C8" s="263" t="s">
        <v>671</v>
      </c>
      <c r="D8" s="2" t="s">
        <v>672</v>
      </c>
      <c r="E8" s="3" t="s">
        <v>673</v>
      </c>
      <c r="G8" s="269" t="s">
        <v>721</v>
      </c>
      <c r="H8" s="200" t="s">
        <v>713</v>
      </c>
      <c r="I8" s="268" t="s">
        <v>722</v>
      </c>
    </row>
    <row r="9" spans="2:9" ht="15" customHeight="1">
      <c r="B9" s="262">
        <v>7</v>
      </c>
      <c r="C9" s="263" t="s">
        <v>674</v>
      </c>
      <c r="D9" s="2" t="s">
        <v>675</v>
      </c>
      <c r="E9" s="3" t="s">
        <v>675</v>
      </c>
      <c r="G9" s="269" t="s">
        <v>723</v>
      </c>
      <c r="H9" s="200" t="s">
        <v>713</v>
      </c>
      <c r="I9" s="268" t="s">
        <v>724</v>
      </c>
    </row>
    <row r="10" spans="2:9" ht="15" customHeight="1">
      <c r="B10" s="262">
        <v>8</v>
      </c>
      <c r="C10" s="263" t="s">
        <v>676</v>
      </c>
      <c r="D10" s="2" t="s">
        <v>677</v>
      </c>
      <c r="E10" s="3" t="s">
        <v>677</v>
      </c>
      <c r="G10" s="269" t="s">
        <v>724</v>
      </c>
      <c r="H10" s="200" t="s">
        <v>713</v>
      </c>
      <c r="I10" s="268" t="s">
        <v>729</v>
      </c>
    </row>
    <row r="11" spans="2:9" ht="15" customHeight="1">
      <c r="B11" s="262">
        <v>9</v>
      </c>
      <c r="C11" s="263" t="s">
        <v>678</v>
      </c>
      <c r="D11" s="2" t="s">
        <v>679</v>
      </c>
      <c r="E11" s="3" t="s">
        <v>679</v>
      </c>
      <c r="G11" s="269" t="s">
        <v>730</v>
      </c>
      <c r="H11" s="200" t="s">
        <v>713</v>
      </c>
      <c r="I11" s="268" t="s">
        <v>731</v>
      </c>
    </row>
    <row r="12" spans="2:9" ht="15" customHeight="1">
      <c r="B12" s="262">
        <v>10</v>
      </c>
      <c r="C12" s="263" t="s">
        <v>680</v>
      </c>
      <c r="D12" s="2" t="s">
        <v>681</v>
      </c>
      <c r="E12" s="3" t="s">
        <v>681</v>
      </c>
      <c r="G12" s="269" t="s">
        <v>725</v>
      </c>
      <c r="H12" s="200" t="s">
        <v>713</v>
      </c>
      <c r="I12" s="268" t="s">
        <v>726</v>
      </c>
    </row>
    <row r="13" spans="2:9" ht="15" customHeight="1">
      <c r="B13" s="262">
        <v>11</v>
      </c>
      <c r="C13" s="263" t="s">
        <v>682</v>
      </c>
      <c r="D13" s="2" t="s">
        <v>683</v>
      </c>
      <c r="E13" s="3" t="s">
        <v>683</v>
      </c>
      <c r="G13" s="269" t="s">
        <v>727</v>
      </c>
      <c r="H13" s="200" t="s">
        <v>713</v>
      </c>
      <c r="I13" s="268" t="s">
        <v>728</v>
      </c>
    </row>
    <row r="14" spans="2:9" ht="15" customHeight="1">
      <c r="B14" s="262">
        <v>12</v>
      </c>
      <c r="C14" s="263" t="s">
        <v>684</v>
      </c>
      <c r="D14" s="2" t="s">
        <v>685</v>
      </c>
      <c r="E14" s="3" t="s">
        <v>685</v>
      </c>
      <c r="G14" s="269" t="s">
        <v>732</v>
      </c>
      <c r="H14" s="200" t="s">
        <v>713</v>
      </c>
      <c r="I14" s="268" t="s">
        <v>733</v>
      </c>
    </row>
    <row r="15" spans="2:9" ht="15" customHeight="1" thickBot="1">
      <c r="B15" s="262">
        <v>13</v>
      </c>
      <c r="C15" s="263" t="s">
        <v>686</v>
      </c>
      <c r="D15" s="2" t="s">
        <v>687</v>
      </c>
      <c r="E15" s="3" t="s">
        <v>687</v>
      </c>
      <c r="G15" s="270" t="s">
        <v>732</v>
      </c>
      <c r="H15" s="271" t="s">
        <v>713</v>
      </c>
      <c r="I15" s="272" t="s">
        <v>734</v>
      </c>
    </row>
    <row r="16" spans="2:8" ht="15" customHeight="1" thickTop="1">
      <c r="B16" s="262">
        <v>14</v>
      </c>
      <c r="C16" s="263" t="s">
        <v>688</v>
      </c>
      <c r="D16" s="2" t="s">
        <v>689</v>
      </c>
      <c r="E16" s="3" t="s">
        <v>689</v>
      </c>
      <c r="G16" s="260"/>
      <c r="H16" s="266"/>
    </row>
    <row r="17" spans="2:5" ht="15" customHeight="1">
      <c r="B17" s="262">
        <v>15</v>
      </c>
      <c r="C17" s="263" t="s">
        <v>699</v>
      </c>
      <c r="D17" s="2"/>
      <c r="E17" s="3"/>
    </row>
    <row r="18" spans="2:5" ht="15" customHeight="1">
      <c r="B18" s="262"/>
      <c r="C18" s="263" t="s">
        <v>690</v>
      </c>
      <c r="D18" s="2" t="s">
        <v>695</v>
      </c>
      <c r="E18" s="3" t="s">
        <v>695</v>
      </c>
    </row>
    <row r="19" spans="2:5" ht="15" customHeight="1">
      <c r="B19" s="262"/>
      <c r="C19" s="263" t="s">
        <v>691</v>
      </c>
      <c r="D19" s="2" t="s">
        <v>696</v>
      </c>
      <c r="E19" s="3" t="s">
        <v>696</v>
      </c>
    </row>
    <row r="20" spans="2:5" ht="15" customHeight="1">
      <c r="B20" s="262"/>
      <c r="C20" s="263" t="s">
        <v>692</v>
      </c>
      <c r="D20" s="2" t="s">
        <v>689</v>
      </c>
      <c r="E20" s="3" t="s">
        <v>689</v>
      </c>
    </row>
    <row r="21" spans="2:5" ht="15" customHeight="1">
      <c r="B21" s="262"/>
      <c r="C21" s="263" t="s">
        <v>693</v>
      </c>
      <c r="D21" s="2" t="s">
        <v>697</v>
      </c>
      <c r="E21" s="3" t="s">
        <v>697</v>
      </c>
    </row>
    <row r="22" spans="2:5" ht="15" customHeight="1">
      <c r="B22" s="262"/>
      <c r="C22" s="263" t="s">
        <v>694</v>
      </c>
      <c r="D22" s="2" t="s">
        <v>698</v>
      </c>
      <c r="E22" s="3" t="s">
        <v>698</v>
      </c>
    </row>
    <row r="23" spans="2:5" ht="15" customHeight="1">
      <c r="B23" s="262">
        <v>16</v>
      </c>
      <c r="C23" s="263" t="s">
        <v>700</v>
      </c>
      <c r="D23" s="2"/>
      <c r="E23" s="3"/>
    </row>
    <row r="24" spans="2:5" ht="15" customHeight="1">
      <c r="B24" s="262"/>
      <c r="C24" s="263" t="s">
        <v>690</v>
      </c>
      <c r="D24" s="2" t="s">
        <v>701</v>
      </c>
      <c r="E24" s="3" t="s">
        <v>701</v>
      </c>
    </row>
    <row r="25" spans="2:5" ht="15" customHeight="1">
      <c r="B25" s="262"/>
      <c r="C25" s="263" t="s">
        <v>691</v>
      </c>
      <c r="D25" s="2" t="s">
        <v>702</v>
      </c>
      <c r="E25" s="3" t="s">
        <v>702</v>
      </c>
    </row>
    <row r="26" spans="2:5" ht="15" customHeight="1">
      <c r="B26" s="262"/>
      <c r="C26" s="263" t="s">
        <v>692</v>
      </c>
      <c r="D26" s="2" t="s">
        <v>703</v>
      </c>
      <c r="E26" s="3" t="s">
        <v>703</v>
      </c>
    </row>
    <row r="27" spans="2:5" ht="15" customHeight="1">
      <c r="B27" s="262"/>
      <c r="C27" s="264" t="s">
        <v>693</v>
      </c>
      <c r="D27" s="2" t="s">
        <v>704</v>
      </c>
      <c r="E27" s="3" t="s">
        <v>704</v>
      </c>
    </row>
    <row r="28" spans="2:5" ht="15" customHeight="1">
      <c r="B28" s="262"/>
      <c r="C28" s="264" t="s">
        <v>694</v>
      </c>
      <c r="D28" s="2" t="s">
        <v>705</v>
      </c>
      <c r="E28" s="3" t="s">
        <v>705</v>
      </c>
    </row>
    <row r="29" spans="2:5" ht="15" customHeight="1">
      <c r="B29" s="262">
        <v>17</v>
      </c>
      <c r="C29" s="264" t="s">
        <v>706</v>
      </c>
      <c r="D29" s="2" t="s">
        <v>679</v>
      </c>
      <c r="E29" s="3" t="s">
        <v>679</v>
      </c>
    </row>
    <row r="30" spans="2:5" ht="15" customHeight="1" thickBot="1">
      <c r="B30" s="9">
        <v>18</v>
      </c>
      <c r="C30" s="265" t="s">
        <v>707</v>
      </c>
      <c r="D30" s="12" t="s">
        <v>708</v>
      </c>
      <c r="E30" s="13" t="s">
        <v>708</v>
      </c>
    </row>
    <row r="31" ht="15" customHeight="1" thickTop="1">
      <c r="C31" s="261"/>
    </row>
    <row r="32" ht="15" customHeight="1"/>
    <row r="33" ht="15" customHeight="1"/>
    <row r="34" ht="15" customHeight="1"/>
  </sheetData>
  <sheetProtection/>
  <mergeCells count="2">
    <mergeCell ref="B1:E1"/>
    <mergeCell ref="G2:I2"/>
  </mergeCells>
  <printOptions/>
  <pageMargins left="0.9448818897637796" right="0.35433070866141736" top="0.984251968503937"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tabColor indexed="18"/>
  </sheetPr>
  <dimension ref="B1:S86"/>
  <sheetViews>
    <sheetView showGridLines="0" showZeros="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B1" sqref="B1:P1"/>
    </sheetView>
  </sheetViews>
  <sheetFormatPr defaultColWidth="9.125" defaultRowHeight="12.75"/>
  <cols>
    <col min="1" max="1" width="2.625" style="130" customWidth="1"/>
    <col min="2" max="2" width="10.625" style="130" customWidth="1"/>
    <col min="3" max="5" width="5.625" style="130" customWidth="1"/>
    <col min="6" max="7" width="8.625" style="130" customWidth="1"/>
    <col min="8" max="10" width="5.625" style="130" customWidth="1"/>
    <col min="11" max="12" width="8.625" style="130" customWidth="1"/>
    <col min="13" max="14" width="10.625" style="130" customWidth="1"/>
    <col min="15" max="16" width="8.625" style="130" customWidth="1"/>
    <col min="17" max="17" width="1.625" style="130" customWidth="1"/>
    <col min="18" max="18" width="5.625" style="130" customWidth="1"/>
    <col min="19" max="19" width="10.625" style="130" customWidth="1"/>
    <col min="20" max="16384" width="9.125" style="130" customWidth="1"/>
  </cols>
  <sheetData>
    <row r="1" spans="2:17" ht="19.5" customHeight="1" thickBot="1">
      <c r="B1" s="280" t="s">
        <v>648</v>
      </c>
      <c r="C1" s="280"/>
      <c r="D1" s="280"/>
      <c r="E1" s="280"/>
      <c r="F1" s="280"/>
      <c r="G1" s="280"/>
      <c r="H1" s="280"/>
      <c r="I1" s="280"/>
      <c r="J1" s="280"/>
      <c r="K1" s="280"/>
      <c r="L1" s="280"/>
      <c r="M1" s="280"/>
      <c r="N1" s="280"/>
      <c r="O1" s="280"/>
      <c r="P1" s="280"/>
      <c r="Q1" s="219"/>
    </row>
    <row r="2" spans="2:17" ht="19.5" customHeight="1" thickTop="1">
      <c r="B2" s="215" t="s">
        <v>306</v>
      </c>
      <c r="C2" s="281" t="s">
        <v>641</v>
      </c>
      <c r="D2" s="281"/>
      <c r="E2" s="281"/>
      <c r="F2" s="282" t="s">
        <v>307</v>
      </c>
      <c r="G2" s="283"/>
      <c r="H2" s="282" t="s">
        <v>308</v>
      </c>
      <c r="I2" s="281"/>
      <c r="J2" s="283"/>
      <c r="K2" s="282" t="s">
        <v>309</v>
      </c>
      <c r="L2" s="283"/>
      <c r="M2" s="215" t="s">
        <v>310</v>
      </c>
      <c r="N2" s="216" t="s">
        <v>311</v>
      </c>
      <c r="O2" s="217" t="s">
        <v>312</v>
      </c>
      <c r="P2" s="218" t="s">
        <v>313</v>
      </c>
      <c r="Q2" s="223"/>
    </row>
    <row r="3" spans="2:19" ht="19.5" customHeight="1">
      <c r="B3" s="220" t="s">
        <v>314</v>
      </c>
      <c r="C3" s="284" t="s">
        <v>642</v>
      </c>
      <c r="D3" s="284"/>
      <c r="E3" s="284"/>
      <c r="F3" s="285" t="s">
        <v>643</v>
      </c>
      <c r="G3" s="286"/>
      <c r="H3" s="285" t="s">
        <v>643</v>
      </c>
      <c r="I3" s="287"/>
      <c r="J3" s="286"/>
      <c r="K3" s="285" t="s">
        <v>644</v>
      </c>
      <c r="L3" s="286"/>
      <c r="M3" s="220" t="s">
        <v>315</v>
      </c>
      <c r="N3" s="224" t="s">
        <v>315</v>
      </c>
      <c r="O3" s="220" t="s">
        <v>316</v>
      </c>
      <c r="P3" s="224" t="s">
        <v>316</v>
      </c>
      <c r="Q3" s="222"/>
      <c r="R3" s="221"/>
      <c r="S3" s="221"/>
    </row>
    <row r="4" spans="2:19" ht="25.5">
      <c r="B4" s="225" t="s">
        <v>317</v>
      </c>
      <c r="C4" s="131" t="s">
        <v>318</v>
      </c>
      <c r="D4" s="132" t="s">
        <v>319</v>
      </c>
      <c r="E4" s="131" t="s">
        <v>320</v>
      </c>
      <c r="F4" s="225" t="s">
        <v>318</v>
      </c>
      <c r="G4" s="226" t="s">
        <v>320</v>
      </c>
      <c r="H4" s="225" t="s">
        <v>318</v>
      </c>
      <c r="I4" s="227" t="s">
        <v>645</v>
      </c>
      <c r="J4" s="226" t="s">
        <v>320</v>
      </c>
      <c r="K4" s="225" t="s">
        <v>318</v>
      </c>
      <c r="L4" s="226" t="s">
        <v>320</v>
      </c>
      <c r="M4" s="228" t="s">
        <v>646</v>
      </c>
      <c r="N4" s="229" t="s">
        <v>647</v>
      </c>
      <c r="O4" s="225" t="s">
        <v>322</v>
      </c>
      <c r="P4" s="226" t="s">
        <v>322</v>
      </c>
      <c r="Q4" s="238"/>
      <c r="R4" s="225" t="s">
        <v>323</v>
      </c>
      <c r="S4" s="226" t="s">
        <v>317</v>
      </c>
    </row>
    <row r="5" spans="2:19" ht="9.75">
      <c r="B5" s="230" t="s">
        <v>324</v>
      </c>
      <c r="C5" s="133">
        <v>5</v>
      </c>
      <c r="D5" s="133"/>
      <c r="E5" s="133">
        <v>2.15</v>
      </c>
      <c r="F5" s="225">
        <v>150</v>
      </c>
      <c r="G5" s="226">
        <v>150</v>
      </c>
      <c r="H5" s="231">
        <v>4.5</v>
      </c>
      <c r="I5" s="131"/>
      <c r="J5" s="232">
        <v>4.5</v>
      </c>
      <c r="K5" s="233">
        <f>VLOOKUP($H5,'ÇELİK HASIR-KESİT TABLOSU'!$B$8:$AA$30,HLOOKUP($F5,'ÇELİK HASIR-KESİT TABLOSU'!$B$5:$AA$8,3,FALSE)+3)*(IF(I5="d",2,1))</f>
        <v>1.06</v>
      </c>
      <c r="L5" s="234">
        <f>VLOOKUP($J5,'ÇELİK HASIR-KESİT TABLOSU'!$B$8:$AA$30,HLOOKUP($G5,'ÇELİK HASIR-KESİT TABLOSU'!$B$5:$AA$8,3,FALSE)+3)</f>
        <v>1.06</v>
      </c>
      <c r="M5" s="235">
        <f aca="true" t="shared" si="0" ref="M5:M68">ROUND(N5/(5*E5),2)</f>
        <v>1.69</v>
      </c>
      <c r="N5" s="236">
        <f>ROUND((C5*P5*(VLOOKUP(H5,'ÇELİK HASIR-KESİT TABLOSU'!$B$8:$AA$30,2)))+(E5*O5*(VLOOKUP(J5,'ÇELİK HASIR-KESİT TABLOSU'!$B$8:$AA$30,2))),2)</f>
        <v>18.22</v>
      </c>
      <c r="O5" s="225">
        <f aca="true" t="shared" si="1" ref="O5:O68">ROUND((((C5-(IF(MID(B5,1,1)="Q",0.2,0.25))-(IF(D5&lt;&gt;0,(IF(MID(B5,1,1)="Q",(D5-0.1),(D5-0.125))),0)))/(G5/1000)+1)),0)</f>
        <v>33</v>
      </c>
      <c r="P5" s="237">
        <f aca="true" t="shared" si="2" ref="P5:P68">ROUND((((E5-(0.05))/(F5/1000)+1)+(IF(I5="d",(IF(MID(B5,1,1)="Q",((E5-0.05-((F5/1000)*8))/(F5/1000))+1,((E5-0.05-((F5/1000)*4))/(F5/1000))+1)),0))),0)</f>
        <v>15</v>
      </c>
      <c r="Q5" s="238"/>
      <c r="R5" s="225">
        <v>1</v>
      </c>
      <c r="S5" s="239" t="str">
        <f>B5</f>
        <v>Q106/106</v>
      </c>
    </row>
    <row r="6" spans="2:19" ht="9.75">
      <c r="B6" s="230" t="s">
        <v>325</v>
      </c>
      <c r="C6" s="133">
        <v>5</v>
      </c>
      <c r="D6" s="133"/>
      <c r="E6" s="133">
        <v>2.15</v>
      </c>
      <c r="F6" s="225">
        <v>150</v>
      </c>
      <c r="G6" s="226">
        <v>150</v>
      </c>
      <c r="H6" s="231">
        <v>4.5</v>
      </c>
      <c r="I6" s="131"/>
      <c r="J6" s="232">
        <v>5</v>
      </c>
      <c r="K6" s="233">
        <f>VLOOKUP($H6,'ÇELİK HASIR-KESİT TABLOSU'!$B$8:$AA$30,HLOOKUP($F6,'ÇELİK HASIR-KESİT TABLOSU'!$B$5:$AA$8,3,FALSE)+3)*(IF(I6="d",2,1))</f>
        <v>1.06</v>
      </c>
      <c r="L6" s="234">
        <f>VLOOKUP($J6,'ÇELİK HASIR-KESİT TABLOSU'!$B$8:$AA$30,HLOOKUP($G6,'ÇELİK HASIR-KESİT TABLOSU'!$B$5:$AA$8,3,FALSE)+3)</f>
        <v>1.31</v>
      </c>
      <c r="M6" s="235">
        <f t="shared" si="0"/>
        <v>1.89</v>
      </c>
      <c r="N6" s="236">
        <f>ROUND((C6*P6*(VLOOKUP(H6,'ÇELİK HASIR-KESİT TABLOSU'!$B$8:$AA$30,2)))+(E6*O6*(VLOOKUP(J6,'ÇELİK HASIR-KESİT TABLOSU'!$B$8:$AA$30,2))),2)</f>
        <v>20.3</v>
      </c>
      <c r="O6" s="225">
        <f t="shared" si="1"/>
        <v>33</v>
      </c>
      <c r="P6" s="237">
        <f t="shared" si="2"/>
        <v>15</v>
      </c>
      <c r="Q6" s="238"/>
      <c r="R6" s="225">
        <f>R5+1</f>
        <v>2</v>
      </c>
      <c r="S6" s="239" t="str">
        <f aca="true" t="shared" si="3" ref="S6:S69">B6</f>
        <v>Q106/131</v>
      </c>
    </row>
    <row r="7" spans="2:19" ht="9.75">
      <c r="B7" s="230" t="s">
        <v>326</v>
      </c>
      <c r="C7" s="133">
        <v>5</v>
      </c>
      <c r="D7" s="133"/>
      <c r="E7" s="133">
        <v>2.15</v>
      </c>
      <c r="F7" s="225">
        <v>150</v>
      </c>
      <c r="G7" s="226">
        <v>150</v>
      </c>
      <c r="H7" s="231">
        <v>4.5</v>
      </c>
      <c r="I7" s="131"/>
      <c r="J7" s="232">
        <v>5.5</v>
      </c>
      <c r="K7" s="233">
        <f>VLOOKUP($H7,'ÇELİK HASIR-KESİT TABLOSU'!$B$8:$AA$30,HLOOKUP($F7,'ÇELİK HASIR-KESİT TABLOSU'!$B$5:$AA$8,3,FALSE)+3)*(IF(I7="d",2,1))</f>
        <v>1.06</v>
      </c>
      <c r="L7" s="234">
        <f>VLOOKUP($J7,'ÇELİK HASIR-KESİT TABLOSU'!$B$8:$AA$30,HLOOKUP($G7,'ÇELİK HASIR-KESİT TABLOSU'!$B$5:$AA$8,3,FALSE)+3)</f>
        <v>1.58</v>
      </c>
      <c r="M7" s="235">
        <f t="shared" si="0"/>
        <v>2.1</v>
      </c>
      <c r="N7" s="236">
        <f>ROUND((C7*P7*(VLOOKUP(H7,'ÇELİK HASIR-KESİT TABLOSU'!$B$8:$AA$30,2)))+(E7*O7*(VLOOKUP(J7,'ÇELİK HASIR-KESİT TABLOSU'!$B$8:$AA$30,2))),2)</f>
        <v>22.6</v>
      </c>
      <c r="O7" s="225">
        <f t="shared" si="1"/>
        <v>33</v>
      </c>
      <c r="P7" s="237">
        <f t="shared" si="2"/>
        <v>15</v>
      </c>
      <c r="Q7" s="238"/>
      <c r="R7" s="225">
        <f aca="true" t="shared" si="4" ref="R7:R70">R6+1</f>
        <v>3</v>
      </c>
      <c r="S7" s="239" t="str">
        <f t="shared" si="3"/>
        <v>Q106/158</v>
      </c>
    </row>
    <row r="8" spans="2:19" ht="9.75">
      <c r="B8" s="230" t="s">
        <v>327</v>
      </c>
      <c r="C8" s="133">
        <v>5</v>
      </c>
      <c r="D8" s="133"/>
      <c r="E8" s="133">
        <v>2.15</v>
      </c>
      <c r="F8" s="225">
        <v>150</v>
      </c>
      <c r="G8" s="226">
        <v>150</v>
      </c>
      <c r="H8" s="231">
        <v>5</v>
      </c>
      <c r="I8" s="131"/>
      <c r="J8" s="232">
        <v>4.5</v>
      </c>
      <c r="K8" s="233">
        <f>VLOOKUP($H8,'ÇELİK HASIR-KESİT TABLOSU'!$B$8:$AA$30,HLOOKUP($F8,'ÇELİK HASIR-KESİT TABLOSU'!$B$5:$AA$8,3,FALSE)+3)*(IF(I8="d",2,1))</f>
        <v>1.31</v>
      </c>
      <c r="L8" s="234">
        <f>VLOOKUP($J8,'ÇELİK HASIR-KESİT TABLOSU'!$B$8:$AA$30,HLOOKUP($G8,'ÇELİK HASIR-KESİT TABLOSU'!$B$5:$AA$8,3,FALSE)+3)</f>
        <v>1.06</v>
      </c>
      <c r="M8" s="235">
        <f t="shared" si="0"/>
        <v>1.9</v>
      </c>
      <c r="N8" s="236">
        <f>ROUND((C8*P8*(VLOOKUP(H8,'ÇELİK HASIR-KESİT TABLOSU'!$B$8:$AA$30,2)))+(E8*O8*(VLOOKUP(J8,'ÇELİK HASIR-KESİT TABLOSU'!$B$8:$AA$30,2))),2)</f>
        <v>20.42</v>
      </c>
      <c r="O8" s="225">
        <f t="shared" si="1"/>
        <v>33</v>
      </c>
      <c r="P8" s="237">
        <f t="shared" si="2"/>
        <v>15</v>
      </c>
      <c r="Q8" s="238"/>
      <c r="R8" s="225">
        <f t="shared" si="4"/>
        <v>4</v>
      </c>
      <c r="S8" s="239" t="str">
        <f t="shared" si="3"/>
        <v>Q131/106</v>
      </c>
    </row>
    <row r="9" spans="2:19" ht="9.75">
      <c r="B9" s="230" t="s">
        <v>328</v>
      </c>
      <c r="C9" s="133">
        <v>5</v>
      </c>
      <c r="D9" s="133"/>
      <c r="E9" s="133">
        <v>2.15</v>
      </c>
      <c r="F9" s="225">
        <v>150</v>
      </c>
      <c r="G9" s="226">
        <v>150</v>
      </c>
      <c r="H9" s="231">
        <v>5</v>
      </c>
      <c r="I9" s="131"/>
      <c r="J9" s="232">
        <v>5</v>
      </c>
      <c r="K9" s="233">
        <f>VLOOKUP($H9,'ÇELİK HASIR-KESİT TABLOSU'!$B$8:$AA$30,HLOOKUP($F9,'ÇELİK HASIR-KESİT TABLOSU'!$B$5:$AA$8,3,FALSE)+3)*(IF(I9="d",2,1))</f>
        <v>1.31</v>
      </c>
      <c r="L9" s="234">
        <f>VLOOKUP($J9,'ÇELİK HASIR-KESİT TABLOSU'!$B$8:$AA$30,HLOOKUP($G9,'ÇELİK HASIR-KESİT TABLOSU'!$B$5:$AA$8,3,FALSE)+3)</f>
        <v>1.31</v>
      </c>
      <c r="M9" s="235">
        <f t="shared" si="0"/>
        <v>2.09</v>
      </c>
      <c r="N9" s="236">
        <f>ROUND((C9*P9*(VLOOKUP(H9,'ÇELİK HASIR-KESİT TABLOSU'!$B$8:$AA$30,2)))+(E9*O9*(VLOOKUP(J9,'ÇELİK HASIR-KESİT TABLOSU'!$B$8:$AA$30,2))),2)</f>
        <v>22.5</v>
      </c>
      <c r="O9" s="225">
        <f t="shared" si="1"/>
        <v>33</v>
      </c>
      <c r="P9" s="237">
        <f t="shared" si="2"/>
        <v>15</v>
      </c>
      <c r="Q9" s="238"/>
      <c r="R9" s="225">
        <f t="shared" si="4"/>
        <v>5</v>
      </c>
      <c r="S9" s="239" t="str">
        <f t="shared" si="3"/>
        <v>Q131/131</v>
      </c>
    </row>
    <row r="10" spans="2:19" ht="9.75">
      <c r="B10" s="230" t="s">
        <v>329</v>
      </c>
      <c r="C10" s="133">
        <v>5</v>
      </c>
      <c r="D10" s="133"/>
      <c r="E10" s="133">
        <v>2.15</v>
      </c>
      <c r="F10" s="225">
        <v>150</v>
      </c>
      <c r="G10" s="226">
        <v>150</v>
      </c>
      <c r="H10" s="231">
        <v>5</v>
      </c>
      <c r="I10" s="131"/>
      <c r="J10" s="232">
        <v>5.5</v>
      </c>
      <c r="K10" s="233">
        <f>VLOOKUP($H10,'ÇELİK HASIR-KESİT TABLOSU'!$B$8:$AA$30,HLOOKUP($F10,'ÇELİK HASIR-KESİT TABLOSU'!$B$5:$AA$8,3,FALSE)+3)*(IF(I10="d",2,1))</f>
        <v>1.31</v>
      </c>
      <c r="L10" s="234">
        <f>VLOOKUP($J10,'ÇELİK HASIR-KESİT TABLOSU'!$B$8:$AA$30,HLOOKUP($G10,'ÇELİK HASIR-KESİT TABLOSU'!$B$5:$AA$8,3,FALSE)+3)</f>
        <v>1.58</v>
      </c>
      <c r="M10" s="235">
        <f t="shared" si="0"/>
        <v>2.31</v>
      </c>
      <c r="N10" s="236">
        <f>ROUND((C10*P10*(VLOOKUP(H10,'ÇELİK HASIR-KESİT TABLOSU'!$B$8:$AA$30,2)))+(E10*O10*(VLOOKUP(J10,'ÇELİK HASIR-KESİT TABLOSU'!$B$8:$AA$30,2))),2)</f>
        <v>24.79</v>
      </c>
      <c r="O10" s="225">
        <f t="shared" si="1"/>
        <v>33</v>
      </c>
      <c r="P10" s="237">
        <f t="shared" si="2"/>
        <v>15</v>
      </c>
      <c r="Q10" s="238"/>
      <c r="R10" s="225">
        <f t="shared" si="4"/>
        <v>6</v>
      </c>
      <c r="S10" s="239" t="str">
        <f t="shared" si="3"/>
        <v>Q131/158</v>
      </c>
    </row>
    <row r="11" spans="2:19" ht="9.75">
      <c r="B11" s="230" t="s">
        <v>330</v>
      </c>
      <c r="C11" s="133">
        <v>5</v>
      </c>
      <c r="D11" s="133"/>
      <c r="E11" s="133">
        <v>2.15</v>
      </c>
      <c r="F11" s="225">
        <v>150</v>
      </c>
      <c r="G11" s="226">
        <v>150</v>
      </c>
      <c r="H11" s="231">
        <v>5</v>
      </c>
      <c r="I11" s="131"/>
      <c r="J11" s="232">
        <v>6</v>
      </c>
      <c r="K11" s="233">
        <f>VLOOKUP($H11,'ÇELİK HASIR-KESİT TABLOSU'!$B$8:$AA$30,HLOOKUP($F11,'ÇELİK HASIR-KESİT TABLOSU'!$B$5:$AA$8,3,FALSE)+3)*(IF(I11="d",2,1))</f>
        <v>1.31</v>
      </c>
      <c r="L11" s="234">
        <f>VLOOKUP($J11,'ÇELİK HASIR-KESİT TABLOSU'!$B$8:$AA$30,HLOOKUP($G11,'ÇELİK HASIR-KESİT TABLOSU'!$B$5:$AA$8,3,FALSE)+3)</f>
        <v>1.88</v>
      </c>
      <c r="M11" s="235">
        <f t="shared" si="0"/>
        <v>2.54</v>
      </c>
      <c r="N11" s="236">
        <f>ROUND((C11*P11*(VLOOKUP(H11,'ÇELİK HASIR-KESİT TABLOSU'!$B$8:$AA$30,2)))+(E11*O11*(VLOOKUP(J11,'ÇELİK HASIR-KESİT TABLOSU'!$B$8:$AA$30,2))),2)</f>
        <v>27.31</v>
      </c>
      <c r="O11" s="225">
        <f t="shared" si="1"/>
        <v>33</v>
      </c>
      <c r="P11" s="237">
        <f t="shared" si="2"/>
        <v>15</v>
      </c>
      <c r="Q11" s="238"/>
      <c r="R11" s="225">
        <f t="shared" si="4"/>
        <v>7</v>
      </c>
      <c r="S11" s="239" t="str">
        <f t="shared" si="3"/>
        <v>Q131/188</v>
      </c>
    </row>
    <row r="12" spans="2:19" ht="9.75">
      <c r="B12" s="230" t="s">
        <v>331</v>
      </c>
      <c r="C12" s="133">
        <v>5</v>
      </c>
      <c r="D12" s="133"/>
      <c r="E12" s="133">
        <v>2.15</v>
      </c>
      <c r="F12" s="225">
        <v>150</v>
      </c>
      <c r="G12" s="226">
        <v>150</v>
      </c>
      <c r="H12" s="231">
        <v>5</v>
      </c>
      <c r="I12" s="131"/>
      <c r="J12" s="232">
        <v>6.5</v>
      </c>
      <c r="K12" s="233">
        <f>VLOOKUP($H12,'ÇELİK HASIR-KESİT TABLOSU'!$B$8:$AA$30,HLOOKUP($F12,'ÇELİK HASIR-KESİT TABLOSU'!$B$5:$AA$8,3,FALSE)+3)*(IF(I12="d",2,1))</f>
        <v>1.31</v>
      </c>
      <c r="L12" s="234">
        <f>VLOOKUP($J12,'ÇELİK HASIR-KESİT TABLOSU'!$B$8:$AA$30,HLOOKUP($G12,'ÇELİK HASIR-KESİT TABLOSU'!$B$5:$AA$8,3,FALSE)+3)</f>
        <v>2.21</v>
      </c>
      <c r="M12" s="235">
        <f t="shared" si="0"/>
        <v>2.79</v>
      </c>
      <c r="N12" s="236">
        <f>ROUND((C12*P12*(VLOOKUP(H12,'ÇELİK HASIR-KESİT TABLOSU'!$B$8:$AA$30,2)))+(E12*O12*(VLOOKUP(J12,'ÇELİK HASIR-KESİT TABLOSU'!$B$8:$AA$30,2))),2)</f>
        <v>30.04</v>
      </c>
      <c r="O12" s="225">
        <f t="shared" si="1"/>
        <v>33</v>
      </c>
      <c r="P12" s="237">
        <f t="shared" si="2"/>
        <v>15</v>
      </c>
      <c r="Q12" s="238"/>
      <c r="R12" s="225">
        <f t="shared" si="4"/>
        <v>8</v>
      </c>
      <c r="S12" s="239" t="str">
        <f t="shared" si="3"/>
        <v>Q131/221</v>
      </c>
    </row>
    <row r="13" spans="2:19" ht="9.75">
      <c r="B13" s="230" t="s">
        <v>332</v>
      </c>
      <c r="C13" s="133">
        <v>5</v>
      </c>
      <c r="D13" s="133"/>
      <c r="E13" s="133">
        <v>2.15</v>
      </c>
      <c r="F13" s="240">
        <v>150</v>
      </c>
      <c r="G13" s="237">
        <v>150</v>
      </c>
      <c r="H13" s="241">
        <v>5</v>
      </c>
      <c r="I13" s="134"/>
      <c r="J13" s="242">
        <v>7</v>
      </c>
      <c r="K13" s="233">
        <f>VLOOKUP($H13,'ÇELİK HASIR-KESİT TABLOSU'!$B$8:$AA$30,HLOOKUP($F13,'ÇELİK HASIR-KESİT TABLOSU'!$B$5:$AA$8,3,FALSE)+3)*(IF(I13="d",2,1))</f>
        <v>1.31</v>
      </c>
      <c r="L13" s="234">
        <f>VLOOKUP($J13,'ÇELİK HASIR-KESİT TABLOSU'!$B$8:$AA$30,HLOOKUP($G13,'ÇELİK HASIR-KESİT TABLOSU'!$B$5:$AA$8,3,FALSE)+3)</f>
        <v>2.57</v>
      </c>
      <c r="M13" s="235">
        <f t="shared" si="0"/>
        <v>3.07</v>
      </c>
      <c r="N13" s="236">
        <f>ROUND((C13*P13*(VLOOKUP(H13,'ÇELİK HASIR-KESİT TABLOSU'!$B$8:$AA$30,2)))+(E13*O13*(VLOOKUP(J13,'ÇELİK HASIR-KESİT TABLOSU'!$B$8:$AA$30,2))),2)</f>
        <v>32.99</v>
      </c>
      <c r="O13" s="225">
        <f t="shared" si="1"/>
        <v>33</v>
      </c>
      <c r="P13" s="237">
        <f t="shared" si="2"/>
        <v>15</v>
      </c>
      <c r="Q13" s="238"/>
      <c r="R13" s="225">
        <f t="shared" si="4"/>
        <v>9</v>
      </c>
      <c r="S13" s="239" t="str">
        <f t="shared" si="3"/>
        <v>Q131/257</v>
      </c>
    </row>
    <row r="14" spans="2:19" ht="9.75">
      <c r="B14" s="230" t="s">
        <v>333</v>
      </c>
      <c r="C14" s="133">
        <v>5</v>
      </c>
      <c r="D14" s="133"/>
      <c r="E14" s="133">
        <v>2.15</v>
      </c>
      <c r="F14" s="240">
        <v>150</v>
      </c>
      <c r="G14" s="237">
        <v>150</v>
      </c>
      <c r="H14" s="241">
        <v>5</v>
      </c>
      <c r="I14" s="134"/>
      <c r="J14" s="242">
        <v>7.5</v>
      </c>
      <c r="K14" s="233">
        <f>VLOOKUP($H14,'ÇELİK HASIR-KESİT TABLOSU'!$B$8:$AA$30,HLOOKUP($F14,'ÇELİK HASIR-KESİT TABLOSU'!$B$5:$AA$8,3,FALSE)+3)*(IF(I14="d",2,1))</f>
        <v>1.31</v>
      </c>
      <c r="L14" s="234">
        <f>VLOOKUP($J14,'ÇELİK HASIR-KESİT TABLOSU'!$B$8:$AA$30,HLOOKUP($G14,'ÇELİK HASIR-KESİT TABLOSU'!$B$5:$AA$8,3,FALSE)+3)</f>
        <v>2.95</v>
      </c>
      <c r="M14" s="235">
        <f t="shared" si="0"/>
        <v>3.36</v>
      </c>
      <c r="N14" s="236">
        <f>ROUND((C14*P14*(VLOOKUP(H14,'ÇELİK HASIR-KESİT TABLOSU'!$B$8:$AA$30,2)))+(E14*O14*(VLOOKUP(J14,'ÇELİK HASIR-KESİT TABLOSU'!$B$8:$AA$30,2))),2)</f>
        <v>36.17</v>
      </c>
      <c r="O14" s="225">
        <f t="shared" si="1"/>
        <v>33</v>
      </c>
      <c r="P14" s="237">
        <f t="shared" si="2"/>
        <v>15</v>
      </c>
      <c r="Q14" s="238"/>
      <c r="R14" s="225">
        <f t="shared" si="4"/>
        <v>10</v>
      </c>
      <c r="S14" s="239" t="str">
        <f t="shared" si="3"/>
        <v>Q131/295</v>
      </c>
    </row>
    <row r="15" spans="2:19" ht="9.75">
      <c r="B15" s="230" t="s">
        <v>334</v>
      </c>
      <c r="C15" s="133">
        <v>5</v>
      </c>
      <c r="D15" s="133"/>
      <c r="E15" s="133">
        <v>2.15</v>
      </c>
      <c r="F15" s="240">
        <v>150</v>
      </c>
      <c r="G15" s="237">
        <v>150</v>
      </c>
      <c r="H15" s="241">
        <v>5.5</v>
      </c>
      <c r="I15" s="134"/>
      <c r="J15" s="242">
        <v>4.5</v>
      </c>
      <c r="K15" s="233">
        <f>VLOOKUP($H15,'ÇELİK HASIR-KESİT TABLOSU'!$B$8:$AA$30,HLOOKUP($F15,'ÇELİK HASIR-KESİT TABLOSU'!$B$5:$AA$8,3,FALSE)+3)*(IF(I15="d",2,1))</f>
        <v>1.58</v>
      </c>
      <c r="L15" s="234">
        <f>VLOOKUP($J15,'ÇELİK HASIR-KESİT TABLOSU'!$B$8:$AA$30,HLOOKUP($G15,'ÇELİK HASIR-KESİT TABLOSU'!$B$5:$AA$8,3,FALSE)+3)</f>
        <v>1.06</v>
      </c>
      <c r="M15" s="235">
        <f t="shared" si="0"/>
        <v>2.13</v>
      </c>
      <c r="N15" s="236">
        <f>ROUND((C15*P15*(VLOOKUP(H15,'ÇELİK HASIR-KESİT TABLOSU'!$B$8:$AA$30,2)))+(E15*O15*(VLOOKUP(J15,'ÇELİK HASIR-KESİT TABLOSU'!$B$8:$AA$30,2))),2)</f>
        <v>22.85</v>
      </c>
      <c r="O15" s="225">
        <f t="shared" si="1"/>
        <v>33</v>
      </c>
      <c r="P15" s="237">
        <f t="shared" si="2"/>
        <v>15</v>
      </c>
      <c r="Q15" s="238"/>
      <c r="R15" s="225">
        <f t="shared" si="4"/>
        <v>11</v>
      </c>
      <c r="S15" s="239" t="str">
        <f t="shared" si="3"/>
        <v>Q158/106</v>
      </c>
    </row>
    <row r="16" spans="2:19" ht="9.75">
      <c r="B16" s="230" t="s">
        <v>335</v>
      </c>
      <c r="C16" s="133">
        <v>5</v>
      </c>
      <c r="D16" s="133"/>
      <c r="E16" s="133">
        <v>2.15</v>
      </c>
      <c r="F16" s="240">
        <v>150</v>
      </c>
      <c r="G16" s="237">
        <v>150</v>
      </c>
      <c r="H16" s="241">
        <v>5.5</v>
      </c>
      <c r="I16" s="134"/>
      <c r="J16" s="242">
        <v>5</v>
      </c>
      <c r="K16" s="233">
        <f>VLOOKUP($H16,'ÇELİK HASIR-KESİT TABLOSU'!$B$8:$AA$30,HLOOKUP($F16,'ÇELİK HASIR-KESİT TABLOSU'!$B$5:$AA$8,3,FALSE)+3)*(IF(I16="d",2,1))</f>
        <v>1.58</v>
      </c>
      <c r="L16" s="234">
        <f>VLOOKUP($J16,'ÇELİK HASIR-KESİT TABLOSU'!$B$8:$AA$30,HLOOKUP($G16,'ÇELİK HASIR-KESİT TABLOSU'!$B$5:$AA$8,3,FALSE)+3)</f>
        <v>1.31</v>
      </c>
      <c r="M16" s="235">
        <f t="shared" si="0"/>
        <v>2.32</v>
      </c>
      <c r="N16" s="236">
        <f>ROUND((C16*P16*(VLOOKUP(H16,'ÇELİK HASIR-KESİT TABLOSU'!$B$8:$AA$30,2)))+(E16*O16*(VLOOKUP(J16,'ÇELİK HASIR-KESİT TABLOSU'!$B$8:$AA$30,2))),2)</f>
        <v>24.92</v>
      </c>
      <c r="O16" s="225">
        <f t="shared" si="1"/>
        <v>33</v>
      </c>
      <c r="P16" s="237">
        <f t="shared" si="2"/>
        <v>15</v>
      </c>
      <c r="Q16" s="238"/>
      <c r="R16" s="225">
        <f t="shared" si="4"/>
        <v>12</v>
      </c>
      <c r="S16" s="239" t="str">
        <f t="shared" si="3"/>
        <v>Q158/131</v>
      </c>
    </row>
    <row r="17" spans="2:19" ht="9.75">
      <c r="B17" s="230" t="s">
        <v>336</v>
      </c>
      <c r="C17" s="133">
        <v>5</v>
      </c>
      <c r="D17" s="133"/>
      <c r="E17" s="133">
        <v>2.15</v>
      </c>
      <c r="F17" s="240">
        <v>150</v>
      </c>
      <c r="G17" s="237">
        <v>150</v>
      </c>
      <c r="H17" s="241">
        <v>5.5</v>
      </c>
      <c r="I17" s="134"/>
      <c r="J17" s="242">
        <v>5.5</v>
      </c>
      <c r="K17" s="233">
        <f>VLOOKUP($H17,'ÇELİK HASIR-KESİT TABLOSU'!$B$8:$AA$30,HLOOKUP($F17,'ÇELİK HASIR-KESİT TABLOSU'!$B$5:$AA$8,3,FALSE)+3)*(IF(I17="d",2,1))</f>
        <v>1.58</v>
      </c>
      <c r="L17" s="234">
        <f>VLOOKUP($J17,'ÇELİK HASIR-KESİT TABLOSU'!$B$8:$AA$30,HLOOKUP($G17,'ÇELİK HASIR-KESİT TABLOSU'!$B$5:$AA$8,3,FALSE)+3)</f>
        <v>1.58</v>
      </c>
      <c r="M17" s="235">
        <f t="shared" si="0"/>
        <v>2.53</v>
      </c>
      <c r="N17" s="236">
        <f>ROUND((C17*P17*(VLOOKUP(H17,'ÇELİK HASIR-KESİT TABLOSU'!$B$8:$AA$30,2)))+(E17*O17*(VLOOKUP(J17,'ÇELİK HASIR-KESİT TABLOSU'!$B$8:$AA$30,2))),2)</f>
        <v>27.22</v>
      </c>
      <c r="O17" s="225">
        <f t="shared" si="1"/>
        <v>33</v>
      </c>
      <c r="P17" s="237">
        <f t="shared" si="2"/>
        <v>15</v>
      </c>
      <c r="Q17" s="238"/>
      <c r="R17" s="225">
        <f t="shared" si="4"/>
        <v>13</v>
      </c>
      <c r="S17" s="239" t="str">
        <f t="shared" si="3"/>
        <v>Q158/158</v>
      </c>
    </row>
    <row r="18" spans="2:19" ht="9.75">
      <c r="B18" s="230" t="s">
        <v>337</v>
      </c>
      <c r="C18" s="133">
        <v>5</v>
      </c>
      <c r="D18" s="133"/>
      <c r="E18" s="133">
        <v>2.15</v>
      </c>
      <c r="F18" s="240">
        <v>150</v>
      </c>
      <c r="G18" s="237">
        <v>150</v>
      </c>
      <c r="H18" s="241">
        <v>5.5</v>
      </c>
      <c r="I18" s="134"/>
      <c r="J18" s="242">
        <v>6</v>
      </c>
      <c r="K18" s="233">
        <f>VLOOKUP($H18,'ÇELİK HASIR-KESİT TABLOSU'!$B$8:$AA$30,HLOOKUP($F18,'ÇELİK HASIR-KESİT TABLOSU'!$B$5:$AA$8,3,FALSE)+3)*(IF(I18="d",2,1))</f>
        <v>1.58</v>
      </c>
      <c r="L18" s="234">
        <f>VLOOKUP($J18,'ÇELİK HASIR-KESİT TABLOSU'!$B$8:$AA$30,HLOOKUP($G18,'ÇELİK HASIR-KESİT TABLOSU'!$B$5:$AA$8,3,FALSE)+3)</f>
        <v>1.88</v>
      </c>
      <c r="M18" s="235">
        <f t="shared" si="0"/>
        <v>2.77</v>
      </c>
      <c r="N18" s="236">
        <f>ROUND((C18*P18*(VLOOKUP(H18,'ÇELİK HASIR-KESİT TABLOSU'!$B$8:$AA$30,2)))+(E18*O18*(VLOOKUP(J18,'ÇELİK HASIR-KESİT TABLOSU'!$B$8:$AA$30,2))),2)</f>
        <v>29.74</v>
      </c>
      <c r="O18" s="225">
        <f t="shared" si="1"/>
        <v>33</v>
      </c>
      <c r="P18" s="237">
        <f t="shared" si="2"/>
        <v>15</v>
      </c>
      <c r="Q18" s="238"/>
      <c r="R18" s="225">
        <f t="shared" si="4"/>
        <v>14</v>
      </c>
      <c r="S18" s="239" t="str">
        <f t="shared" si="3"/>
        <v>Q158/188</v>
      </c>
    </row>
    <row r="19" spans="2:19" ht="9.75">
      <c r="B19" s="230" t="s">
        <v>338</v>
      </c>
      <c r="C19" s="133">
        <v>5</v>
      </c>
      <c r="D19" s="133"/>
      <c r="E19" s="133">
        <v>2.15</v>
      </c>
      <c r="F19" s="240">
        <v>150</v>
      </c>
      <c r="G19" s="237">
        <v>150</v>
      </c>
      <c r="H19" s="241">
        <v>5.5</v>
      </c>
      <c r="I19" s="134"/>
      <c r="J19" s="242">
        <v>6.5</v>
      </c>
      <c r="K19" s="233">
        <f>VLOOKUP($H19,'ÇELİK HASIR-KESİT TABLOSU'!$B$8:$AA$30,HLOOKUP($F19,'ÇELİK HASIR-KESİT TABLOSU'!$B$5:$AA$8,3,FALSE)+3)*(IF(I19="d",2,1))</f>
        <v>1.58</v>
      </c>
      <c r="L19" s="234">
        <f>VLOOKUP($J19,'ÇELİK HASIR-KESİT TABLOSU'!$B$8:$AA$30,HLOOKUP($G19,'ÇELİK HASIR-KESİT TABLOSU'!$B$5:$AA$8,3,FALSE)+3)</f>
        <v>2.21</v>
      </c>
      <c r="M19" s="235">
        <f t="shared" si="0"/>
        <v>3.02</v>
      </c>
      <c r="N19" s="236">
        <f>ROUND((C19*P19*(VLOOKUP(H19,'ÇELİK HASIR-KESİT TABLOSU'!$B$8:$AA$30,2)))+(E19*O19*(VLOOKUP(J19,'ÇELİK HASIR-KESİT TABLOSU'!$B$8:$AA$30,2))),2)</f>
        <v>32.47</v>
      </c>
      <c r="O19" s="225">
        <f t="shared" si="1"/>
        <v>33</v>
      </c>
      <c r="P19" s="237">
        <f t="shared" si="2"/>
        <v>15</v>
      </c>
      <c r="Q19" s="238"/>
      <c r="R19" s="225">
        <f t="shared" si="4"/>
        <v>15</v>
      </c>
      <c r="S19" s="239" t="str">
        <f t="shared" si="3"/>
        <v>Q158/221</v>
      </c>
    </row>
    <row r="20" spans="2:19" ht="9.75">
      <c r="B20" s="230" t="s">
        <v>339</v>
      </c>
      <c r="C20" s="133">
        <v>5</v>
      </c>
      <c r="D20" s="133"/>
      <c r="E20" s="133">
        <v>2.15</v>
      </c>
      <c r="F20" s="240">
        <v>150</v>
      </c>
      <c r="G20" s="237">
        <v>150</v>
      </c>
      <c r="H20" s="241">
        <v>5.5</v>
      </c>
      <c r="I20" s="134"/>
      <c r="J20" s="242">
        <v>7</v>
      </c>
      <c r="K20" s="233">
        <f>VLOOKUP($H20,'ÇELİK HASIR-KESİT TABLOSU'!$B$8:$AA$30,HLOOKUP($F20,'ÇELİK HASIR-KESİT TABLOSU'!$B$5:$AA$8,3,FALSE)+3)*(IF(I20="d",2,1))</f>
        <v>1.58</v>
      </c>
      <c r="L20" s="234">
        <f>VLOOKUP($J20,'ÇELİK HASIR-KESİT TABLOSU'!$B$8:$AA$30,HLOOKUP($G20,'ÇELİK HASIR-KESİT TABLOSU'!$B$5:$AA$8,3,FALSE)+3)</f>
        <v>2.57</v>
      </c>
      <c r="M20" s="235">
        <f t="shared" si="0"/>
        <v>3.29</v>
      </c>
      <c r="N20" s="236">
        <f>ROUND((C20*P20*(VLOOKUP(H20,'ÇELİK HASIR-KESİT TABLOSU'!$B$8:$AA$30,2)))+(E20*O20*(VLOOKUP(J20,'ÇELİK HASIR-KESİT TABLOSU'!$B$8:$AA$30,2))),2)</f>
        <v>35.42</v>
      </c>
      <c r="O20" s="225">
        <f t="shared" si="1"/>
        <v>33</v>
      </c>
      <c r="P20" s="237">
        <f t="shared" si="2"/>
        <v>15</v>
      </c>
      <c r="Q20" s="238"/>
      <c r="R20" s="225">
        <f t="shared" si="4"/>
        <v>16</v>
      </c>
      <c r="S20" s="239" t="str">
        <f t="shared" si="3"/>
        <v>Q158/257</v>
      </c>
    </row>
    <row r="21" spans="2:19" ht="9.75">
      <c r="B21" s="230" t="s">
        <v>340</v>
      </c>
      <c r="C21" s="133">
        <v>5</v>
      </c>
      <c r="D21" s="133"/>
      <c r="E21" s="133">
        <v>2.15</v>
      </c>
      <c r="F21" s="240">
        <v>150</v>
      </c>
      <c r="G21" s="237">
        <v>150</v>
      </c>
      <c r="H21" s="241">
        <v>5.5</v>
      </c>
      <c r="I21" s="134"/>
      <c r="J21" s="242">
        <v>7.5</v>
      </c>
      <c r="K21" s="233">
        <f>VLOOKUP($H21,'ÇELİK HASIR-KESİT TABLOSU'!$B$8:$AA$30,HLOOKUP($F21,'ÇELİK HASIR-KESİT TABLOSU'!$B$5:$AA$8,3,FALSE)+3)*(IF(I21="d",2,1))</f>
        <v>1.58</v>
      </c>
      <c r="L21" s="234">
        <f>VLOOKUP($J21,'ÇELİK HASIR-KESİT TABLOSU'!$B$8:$AA$30,HLOOKUP($G21,'ÇELİK HASIR-KESİT TABLOSU'!$B$5:$AA$8,3,FALSE)+3)</f>
        <v>2.95</v>
      </c>
      <c r="M21" s="235">
        <f t="shared" si="0"/>
        <v>3.59</v>
      </c>
      <c r="N21" s="236">
        <f>ROUND((C21*P21*(VLOOKUP(H21,'ÇELİK HASIR-KESİT TABLOSU'!$B$8:$AA$30,2)))+(E21*O21*(VLOOKUP(J21,'ÇELİK HASIR-KESİT TABLOSU'!$B$8:$AA$30,2))),2)</f>
        <v>38.59</v>
      </c>
      <c r="O21" s="225">
        <f t="shared" si="1"/>
        <v>33</v>
      </c>
      <c r="P21" s="237">
        <f t="shared" si="2"/>
        <v>15</v>
      </c>
      <c r="Q21" s="238"/>
      <c r="R21" s="225">
        <f t="shared" si="4"/>
        <v>17</v>
      </c>
      <c r="S21" s="239" t="str">
        <f t="shared" si="3"/>
        <v>Q158/295</v>
      </c>
    </row>
    <row r="22" spans="2:19" ht="9.75">
      <c r="B22" s="230" t="s">
        <v>341</v>
      </c>
      <c r="C22" s="133">
        <v>5</v>
      </c>
      <c r="D22" s="133"/>
      <c r="E22" s="133">
        <v>2.15</v>
      </c>
      <c r="F22" s="240">
        <v>150</v>
      </c>
      <c r="G22" s="237">
        <v>150</v>
      </c>
      <c r="H22" s="241">
        <v>6</v>
      </c>
      <c r="I22" s="134"/>
      <c r="J22" s="242">
        <v>5</v>
      </c>
      <c r="K22" s="233">
        <f>VLOOKUP($H22,'ÇELİK HASIR-KESİT TABLOSU'!$B$8:$AA$30,HLOOKUP($F22,'ÇELİK HASIR-KESİT TABLOSU'!$B$5:$AA$8,3,FALSE)+3)*(IF(I22="d",2,1))</f>
        <v>1.88</v>
      </c>
      <c r="L22" s="234">
        <f>VLOOKUP($J22,'ÇELİK HASIR-KESİT TABLOSU'!$B$8:$AA$30,HLOOKUP($G22,'ÇELİK HASIR-KESİT TABLOSU'!$B$5:$AA$8,3,FALSE)+3)</f>
        <v>1.31</v>
      </c>
      <c r="M22" s="235">
        <f t="shared" si="0"/>
        <v>2.57</v>
      </c>
      <c r="N22" s="236">
        <f>ROUND((C22*P22*(VLOOKUP(H22,'ÇELİK HASIR-KESİT TABLOSU'!$B$8:$AA$30,2)))+(E22*O22*(VLOOKUP(J22,'ÇELİK HASIR-KESİT TABLOSU'!$B$8:$AA$30,2))),2)</f>
        <v>27.58</v>
      </c>
      <c r="O22" s="225">
        <f t="shared" si="1"/>
        <v>33</v>
      </c>
      <c r="P22" s="237">
        <f t="shared" si="2"/>
        <v>15</v>
      </c>
      <c r="Q22" s="238"/>
      <c r="R22" s="225">
        <f t="shared" si="4"/>
        <v>18</v>
      </c>
      <c r="S22" s="239" t="str">
        <f t="shared" si="3"/>
        <v>Q188/131</v>
      </c>
    </row>
    <row r="23" spans="2:19" ht="9.75">
      <c r="B23" s="230" t="s">
        <v>342</v>
      </c>
      <c r="C23" s="133">
        <v>5</v>
      </c>
      <c r="D23" s="133"/>
      <c r="E23" s="133">
        <v>2.15</v>
      </c>
      <c r="F23" s="240">
        <v>150</v>
      </c>
      <c r="G23" s="237">
        <v>150</v>
      </c>
      <c r="H23" s="241">
        <v>6</v>
      </c>
      <c r="I23" s="134"/>
      <c r="J23" s="242">
        <v>5.5</v>
      </c>
      <c r="K23" s="233">
        <f>VLOOKUP($H23,'ÇELİK HASIR-KESİT TABLOSU'!$B$8:$AA$30,HLOOKUP($F23,'ÇELİK HASIR-KESİT TABLOSU'!$B$5:$AA$8,3,FALSE)+3)*(IF(I23="d",2,1))</f>
        <v>1.88</v>
      </c>
      <c r="L23" s="234">
        <f>VLOOKUP($J23,'ÇELİK HASIR-KESİT TABLOSU'!$B$8:$AA$30,HLOOKUP($G23,'ÇELİK HASIR-KESİT TABLOSU'!$B$5:$AA$8,3,FALSE)+3)</f>
        <v>1.58</v>
      </c>
      <c r="M23" s="235">
        <f t="shared" si="0"/>
        <v>2.78</v>
      </c>
      <c r="N23" s="236">
        <f>ROUND((C23*P23*(VLOOKUP(H23,'ÇELİK HASIR-KESİT TABLOSU'!$B$8:$AA$30,2)))+(E23*O23*(VLOOKUP(J23,'ÇELİK HASIR-KESİT TABLOSU'!$B$8:$AA$30,2))),2)</f>
        <v>29.88</v>
      </c>
      <c r="O23" s="225">
        <f t="shared" si="1"/>
        <v>33</v>
      </c>
      <c r="P23" s="237">
        <f t="shared" si="2"/>
        <v>15</v>
      </c>
      <c r="Q23" s="238"/>
      <c r="R23" s="225">
        <f t="shared" si="4"/>
        <v>19</v>
      </c>
      <c r="S23" s="239" t="str">
        <f t="shared" si="3"/>
        <v>Q188/158</v>
      </c>
    </row>
    <row r="24" spans="2:19" ht="9.75">
      <c r="B24" s="243" t="s">
        <v>343</v>
      </c>
      <c r="C24" s="136">
        <v>5</v>
      </c>
      <c r="D24" s="136"/>
      <c r="E24" s="136">
        <v>2.15</v>
      </c>
      <c r="F24" s="240">
        <v>150</v>
      </c>
      <c r="G24" s="237">
        <v>150</v>
      </c>
      <c r="H24" s="241">
        <v>6</v>
      </c>
      <c r="I24" s="134"/>
      <c r="J24" s="242">
        <v>6</v>
      </c>
      <c r="K24" s="244">
        <f>VLOOKUP($H24,'ÇELİK HASIR-KESİT TABLOSU'!$B$8:$AA$30,HLOOKUP($F24,'ÇELİK HASIR-KESİT TABLOSU'!$B$5:$AA$8,3,FALSE)+3)*(IF(I24="d",2,1))</f>
        <v>1.88</v>
      </c>
      <c r="L24" s="245">
        <f>VLOOKUP($J24,'ÇELİK HASIR-KESİT TABLOSU'!$B$8:$AA$30,HLOOKUP($G24,'ÇELİK HASIR-KESİT TABLOSU'!$B$5:$AA$8,3,FALSE)+3)</f>
        <v>1.88</v>
      </c>
      <c r="M24" s="235">
        <f t="shared" si="0"/>
        <v>3.01</v>
      </c>
      <c r="N24" s="236">
        <f>ROUND((C24*P24*(VLOOKUP(H24,'ÇELİK HASIR-KESİT TABLOSU'!$B$8:$AA$30,2)))+(E24*O24*(VLOOKUP(J24,'ÇELİK HASIR-KESİT TABLOSU'!$B$8:$AA$30,2))),2)</f>
        <v>32.39</v>
      </c>
      <c r="O24" s="240">
        <f t="shared" si="1"/>
        <v>33</v>
      </c>
      <c r="P24" s="237">
        <f t="shared" si="2"/>
        <v>15</v>
      </c>
      <c r="Q24" s="238"/>
      <c r="R24" s="225">
        <f t="shared" si="4"/>
        <v>20</v>
      </c>
      <c r="S24" s="239" t="str">
        <f t="shared" si="3"/>
        <v>Q188/188</v>
      </c>
    </row>
    <row r="25" spans="2:19" ht="9.75">
      <c r="B25" s="243" t="s">
        <v>344</v>
      </c>
      <c r="C25" s="136">
        <v>5</v>
      </c>
      <c r="D25" s="136"/>
      <c r="E25" s="136">
        <v>2.15</v>
      </c>
      <c r="F25" s="240">
        <v>150</v>
      </c>
      <c r="G25" s="237">
        <v>150</v>
      </c>
      <c r="H25" s="241">
        <v>6</v>
      </c>
      <c r="I25" s="134"/>
      <c r="J25" s="242">
        <v>6.5</v>
      </c>
      <c r="K25" s="244">
        <f>VLOOKUP($H25,'ÇELİK HASIR-KESİT TABLOSU'!$B$8:$AA$30,HLOOKUP($F25,'ÇELİK HASIR-KESİT TABLOSU'!$B$5:$AA$8,3,FALSE)+3)*(IF(I25="d",2,1))</f>
        <v>1.88</v>
      </c>
      <c r="L25" s="245">
        <f>VLOOKUP($J25,'ÇELİK HASIR-KESİT TABLOSU'!$B$8:$AA$30,HLOOKUP($G25,'ÇELİK HASIR-KESİT TABLOSU'!$B$5:$AA$8,3,FALSE)+3)</f>
        <v>2.21</v>
      </c>
      <c r="M25" s="235">
        <f t="shared" si="0"/>
        <v>3.27</v>
      </c>
      <c r="N25" s="236">
        <f>ROUND((C25*P25*(VLOOKUP(H25,'ÇELİK HASIR-KESİT TABLOSU'!$B$8:$AA$30,2)))+(E25*O25*(VLOOKUP(J25,'ÇELİK HASIR-KESİT TABLOSU'!$B$8:$AA$30,2))),2)</f>
        <v>35.13</v>
      </c>
      <c r="O25" s="240">
        <f t="shared" si="1"/>
        <v>33</v>
      </c>
      <c r="P25" s="237">
        <f t="shared" si="2"/>
        <v>15</v>
      </c>
      <c r="Q25" s="238"/>
      <c r="R25" s="225">
        <f t="shared" si="4"/>
        <v>21</v>
      </c>
      <c r="S25" s="239" t="str">
        <f t="shared" si="3"/>
        <v>Q188/221</v>
      </c>
    </row>
    <row r="26" spans="2:19" ht="9.75">
      <c r="B26" s="230" t="s">
        <v>345</v>
      </c>
      <c r="C26" s="133">
        <v>5</v>
      </c>
      <c r="D26" s="133"/>
      <c r="E26" s="133">
        <v>2.15</v>
      </c>
      <c r="F26" s="240">
        <v>150</v>
      </c>
      <c r="G26" s="237">
        <v>150</v>
      </c>
      <c r="H26" s="241">
        <v>6</v>
      </c>
      <c r="I26" s="134"/>
      <c r="J26" s="242">
        <v>7</v>
      </c>
      <c r="K26" s="233">
        <f>VLOOKUP($H26,'ÇELİK HASIR-KESİT TABLOSU'!$B$8:$AA$30,HLOOKUP($F26,'ÇELİK HASIR-KESİT TABLOSU'!$B$5:$AA$8,3,FALSE)+3)*(IF(I26="d",2,1))</f>
        <v>1.88</v>
      </c>
      <c r="L26" s="234">
        <f>VLOOKUP($J26,'ÇELİK HASIR-KESİT TABLOSU'!$B$8:$AA$30,HLOOKUP($G26,'ÇELİK HASIR-KESİT TABLOSU'!$B$5:$AA$8,3,FALSE)+3)</f>
        <v>2.57</v>
      </c>
      <c r="M26" s="235">
        <f t="shared" si="0"/>
        <v>3.54</v>
      </c>
      <c r="N26" s="236">
        <f>ROUND((C26*P26*(VLOOKUP(H26,'ÇELİK HASIR-KESİT TABLOSU'!$B$8:$AA$30,2)))+(E26*O26*(VLOOKUP(J26,'ÇELİK HASIR-KESİT TABLOSU'!$B$8:$AA$30,2))),2)</f>
        <v>38.08</v>
      </c>
      <c r="O26" s="225">
        <f t="shared" si="1"/>
        <v>33</v>
      </c>
      <c r="P26" s="237">
        <f t="shared" si="2"/>
        <v>15</v>
      </c>
      <c r="Q26" s="238"/>
      <c r="R26" s="225">
        <f t="shared" si="4"/>
        <v>22</v>
      </c>
      <c r="S26" s="239" t="str">
        <f t="shared" si="3"/>
        <v>Q188/257</v>
      </c>
    </row>
    <row r="27" spans="2:19" ht="9.75">
      <c r="B27" s="230" t="s">
        <v>346</v>
      </c>
      <c r="C27" s="133">
        <v>5</v>
      </c>
      <c r="D27" s="133"/>
      <c r="E27" s="133">
        <v>2.15</v>
      </c>
      <c r="F27" s="240">
        <v>150</v>
      </c>
      <c r="G27" s="237">
        <v>150</v>
      </c>
      <c r="H27" s="241">
        <v>6</v>
      </c>
      <c r="I27" s="134"/>
      <c r="J27" s="242">
        <v>7.5</v>
      </c>
      <c r="K27" s="233">
        <f>VLOOKUP($H27,'ÇELİK HASIR-KESİT TABLOSU'!$B$8:$AA$30,HLOOKUP($F27,'ÇELİK HASIR-KESİT TABLOSU'!$B$5:$AA$8,3,FALSE)+3)*(IF(I27="d",2,1))</f>
        <v>1.88</v>
      </c>
      <c r="L27" s="234">
        <f>VLOOKUP($J27,'ÇELİK HASIR-KESİT TABLOSU'!$B$8:$AA$30,HLOOKUP($G27,'ÇELİK HASIR-KESİT TABLOSU'!$B$5:$AA$8,3,FALSE)+3)</f>
        <v>2.95</v>
      </c>
      <c r="M27" s="235">
        <f t="shared" si="0"/>
        <v>3.84</v>
      </c>
      <c r="N27" s="236">
        <f>ROUND((C27*P27*(VLOOKUP(H27,'ÇELİK HASIR-KESİT TABLOSU'!$B$8:$AA$30,2)))+(E27*O27*(VLOOKUP(J27,'ÇELİK HASIR-KESİT TABLOSU'!$B$8:$AA$30,2))),2)</f>
        <v>41.25</v>
      </c>
      <c r="O27" s="225">
        <f t="shared" si="1"/>
        <v>33</v>
      </c>
      <c r="P27" s="237">
        <f t="shared" si="2"/>
        <v>15</v>
      </c>
      <c r="Q27" s="238"/>
      <c r="R27" s="225">
        <f t="shared" si="4"/>
        <v>23</v>
      </c>
      <c r="S27" s="239" t="str">
        <f t="shared" si="3"/>
        <v>Q188/295</v>
      </c>
    </row>
    <row r="28" spans="2:19" ht="9.75">
      <c r="B28" s="230" t="s">
        <v>347</v>
      </c>
      <c r="C28" s="133">
        <v>5</v>
      </c>
      <c r="D28" s="133"/>
      <c r="E28" s="133">
        <v>2.15</v>
      </c>
      <c r="F28" s="240">
        <v>150</v>
      </c>
      <c r="G28" s="237">
        <v>150</v>
      </c>
      <c r="H28" s="241">
        <v>6.5</v>
      </c>
      <c r="I28" s="134"/>
      <c r="J28" s="242">
        <v>5.5</v>
      </c>
      <c r="K28" s="233">
        <f>VLOOKUP($H28,'ÇELİK HASIR-KESİT TABLOSU'!$B$8:$AA$30,HLOOKUP($F28,'ÇELİK HASIR-KESİT TABLOSU'!$B$5:$AA$8,3,FALSE)+3)*(IF(I28="d",2,1))</f>
        <v>2.21</v>
      </c>
      <c r="L28" s="234">
        <f>VLOOKUP($J28,'ÇELİK HASIR-KESİT TABLOSU'!$B$8:$AA$30,HLOOKUP($G28,'ÇELİK HASIR-KESİT TABLOSU'!$B$5:$AA$8,3,FALSE)+3)</f>
        <v>1.58</v>
      </c>
      <c r="M28" s="235">
        <f t="shared" si="0"/>
        <v>3.05</v>
      </c>
      <c r="N28" s="236">
        <f>ROUND((C28*P28*(VLOOKUP(H28,'ÇELİK HASIR-KESİT TABLOSU'!$B$8:$AA$30,2)))+(E28*O28*(VLOOKUP(J28,'ÇELİK HASIR-KESİT TABLOSU'!$B$8:$AA$30,2))),2)</f>
        <v>32.77</v>
      </c>
      <c r="O28" s="225">
        <f t="shared" si="1"/>
        <v>33</v>
      </c>
      <c r="P28" s="237">
        <f t="shared" si="2"/>
        <v>15</v>
      </c>
      <c r="Q28" s="238"/>
      <c r="R28" s="225">
        <f t="shared" si="4"/>
        <v>24</v>
      </c>
      <c r="S28" s="239" t="str">
        <f t="shared" si="3"/>
        <v>Q221/158</v>
      </c>
    </row>
    <row r="29" spans="2:19" ht="9.75">
      <c r="B29" s="230" t="s">
        <v>348</v>
      </c>
      <c r="C29" s="133">
        <v>5</v>
      </c>
      <c r="D29" s="133"/>
      <c r="E29" s="133">
        <v>2.15</v>
      </c>
      <c r="F29" s="240">
        <v>150</v>
      </c>
      <c r="G29" s="237">
        <v>150</v>
      </c>
      <c r="H29" s="241">
        <v>6.5</v>
      </c>
      <c r="I29" s="134"/>
      <c r="J29" s="242">
        <v>6</v>
      </c>
      <c r="K29" s="233">
        <f>VLOOKUP($H29,'ÇELİK HASIR-KESİT TABLOSU'!$B$8:$AA$30,HLOOKUP($F29,'ÇELİK HASIR-KESİT TABLOSU'!$B$5:$AA$8,3,FALSE)+3)*(IF(I29="d",2,1))</f>
        <v>2.21</v>
      </c>
      <c r="L29" s="234">
        <f>VLOOKUP($J29,'ÇELİK HASIR-KESİT TABLOSU'!$B$8:$AA$30,HLOOKUP($G29,'ÇELİK HASIR-KESİT TABLOSU'!$B$5:$AA$8,3,FALSE)+3)</f>
        <v>1.88</v>
      </c>
      <c r="M29" s="235">
        <f t="shared" si="0"/>
        <v>3.28</v>
      </c>
      <c r="N29" s="236">
        <f>ROUND((C29*P29*(VLOOKUP(H29,'ÇELİK HASIR-KESİT TABLOSU'!$B$8:$AA$30,2)))+(E29*O29*(VLOOKUP(J29,'ÇELİK HASIR-KESİT TABLOSU'!$B$8:$AA$30,2))),2)</f>
        <v>35.28</v>
      </c>
      <c r="O29" s="225">
        <f t="shared" si="1"/>
        <v>33</v>
      </c>
      <c r="P29" s="237">
        <f t="shared" si="2"/>
        <v>15</v>
      </c>
      <c r="Q29" s="238"/>
      <c r="R29" s="225">
        <f t="shared" si="4"/>
        <v>25</v>
      </c>
      <c r="S29" s="239" t="str">
        <f t="shared" si="3"/>
        <v>Q221/188</v>
      </c>
    </row>
    <row r="30" spans="2:19" ht="9.75">
      <c r="B30" s="230" t="s">
        <v>349</v>
      </c>
      <c r="C30" s="133">
        <v>5</v>
      </c>
      <c r="D30" s="133"/>
      <c r="E30" s="133">
        <v>2.15</v>
      </c>
      <c r="F30" s="240">
        <v>150</v>
      </c>
      <c r="G30" s="237">
        <v>150</v>
      </c>
      <c r="H30" s="241">
        <v>6.5</v>
      </c>
      <c r="I30" s="134"/>
      <c r="J30" s="242">
        <v>6.5</v>
      </c>
      <c r="K30" s="233">
        <f>VLOOKUP($H30,'ÇELİK HASIR-KESİT TABLOSU'!$B$8:$AA$30,HLOOKUP($F30,'ÇELİK HASIR-KESİT TABLOSU'!$B$5:$AA$8,3,FALSE)+3)*(IF(I30="d",2,1))</f>
        <v>2.21</v>
      </c>
      <c r="L30" s="234">
        <f>VLOOKUP($J30,'ÇELİK HASIR-KESİT TABLOSU'!$B$8:$AA$30,HLOOKUP($G30,'ÇELİK HASIR-KESİT TABLOSU'!$B$5:$AA$8,3,FALSE)+3)</f>
        <v>2.21</v>
      </c>
      <c r="M30" s="235">
        <f t="shared" si="0"/>
        <v>3.54</v>
      </c>
      <c r="N30" s="236">
        <f>ROUND((C30*P30*(VLOOKUP(H30,'ÇELİK HASIR-KESİT TABLOSU'!$B$8:$AA$30,2)))+(E30*O30*(VLOOKUP(J30,'ÇELİK HASIR-KESİT TABLOSU'!$B$8:$AA$30,2))),2)</f>
        <v>38.02</v>
      </c>
      <c r="O30" s="225">
        <f t="shared" si="1"/>
        <v>33</v>
      </c>
      <c r="P30" s="237">
        <f t="shared" si="2"/>
        <v>15</v>
      </c>
      <c r="Q30" s="238"/>
      <c r="R30" s="225">
        <f t="shared" si="4"/>
        <v>26</v>
      </c>
      <c r="S30" s="239" t="str">
        <f t="shared" si="3"/>
        <v>Q221/221</v>
      </c>
    </row>
    <row r="31" spans="2:19" ht="9.75">
      <c r="B31" s="230" t="s">
        <v>350</v>
      </c>
      <c r="C31" s="133">
        <v>5</v>
      </c>
      <c r="D31" s="133"/>
      <c r="E31" s="133">
        <v>2.15</v>
      </c>
      <c r="F31" s="240">
        <v>150</v>
      </c>
      <c r="G31" s="237">
        <v>150</v>
      </c>
      <c r="H31" s="241">
        <v>6.5</v>
      </c>
      <c r="I31" s="134"/>
      <c r="J31" s="242">
        <v>7</v>
      </c>
      <c r="K31" s="233">
        <f>VLOOKUP($H31,'ÇELİK HASIR-KESİT TABLOSU'!$B$8:$AA$30,HLOOKUP($F31,'ÇELİK HASIR-KESİT TABLOSU'!$B$5:$AA$8,3,FALSE)+3)*(IF(I31="d",2,1))</f>
        <v>2.21</v>
      </c>
      <c r="L31" s="234">
        <f>VLOOKUP($J31,'ÇELİK HASIR-KESİT TABLOSU'!$B$8:$AA$30,HLOOKUP($G31,'ÇELİK HASIR-KESİT TABLOSU'!$B$5:$AA$8,3,FALSE)+3)</f>
        <v>2.57</v>
      </c>
      <c r="M31" s="235">
        <f t="shared" si="0"/>
        <v>3.81</v>
      </c>
      <c r="N31" s="236">
        <f>ROUND((C31*P31*(VLOOKUP(H31,'ÇELİK HASIR-KESİT TABLOSU'!$B$8:$AA$30,2)))+(E31*O31*(VLOOKUP(J31,'ÇELİK HASIR-KESİT TABLOSU'!$B$8:$AA$30,2))),2)</f>
        <v>40.97</v>
      </c>
      <c r="O31" s="225">
        <f t="shared" si="1"/>
        <v>33</v>
      </c>
      <c r="P31" s="237">
        <f t="shared" si="2"/>
        <v>15</v>
      </c>
      <c r="Q31" s="238"/>
      <c r="R31" s="225">
        <f t="shared" si="4"/>
        <v>27</v>
      </c>
      <c r="S31" s="239" t="str">
        <f t="shared" si="3"/>
        <v>Q221/257</v>
      </c>
    </row>
    <row r="32" spans="2:19" ht="9.75">
      <c r="B32" s="230" t="s">
        <v>351</v>
      </c>
      <c r="C32" s="133">
        <v>5</v>
      </c>
      <c r="D32" s="133"/>
      <c r="E32" s="133">
        <v>2.15</v>
      </c>
      <c r="F32" s="240">
        <v>150</v>
      </c>
      <c r="G32" s="237">
        <v>150</v>
      </c>
      <c r="H32" s="241">
        <v>6.5</v>
      </c>
      <c r="I32" s="134"/>
      <c r="J32" s="242">
        <v>7.5</v>
      </c>
      <c r="K32" s="233">
        <f>VLOOKUP($H32,'ÇELİK HASIR-KESİT TABLOSU'!$B$8:$AA$30,HLOOKUP($F32,'ÇELİK HASIR-KESİT TABLOSU'!$B$5:$AA$8,3,FALSE)+3)*(IF(I32="d",2,1))</f>
        <v>2.21</v>
      </c>
      <c r="L32" s="234">
        <f>VLOOKUP($J32,'ÇELİK HASIR-KESİT TABLOSU'!$B$8:$AA$30,HLOOKUP($G32,'ÇELİK HASIR-KESİT TABLOSU'!$B$5:$AA$8,3,FALSE)+3)</f>
        <v>2.95</v>
      </c>
      <c r="M32" s="235">
        <f t="shared" si="0"/>
        <v>4.11</v>
      </c>
      <c r="N32" s="236">
        <f>ROUND((C32*P32*(VLOOKUP(H32,'ÇELİK HASIR-KESİT TABLOSU'!$B$8:$AA$30,2)))+(E32*O32*(VLOOKUP(J32,'ÇELİK HASIR-KESİT TABLOSU'!$B$8:$AA$30,2))),2)</f>
        <v>44.14</v>
      </c>
      <c r="O32" s="225">
        <f t="shared" si="1"/>
        <v>33</v>
      </c>
      <c r="P32" s="237">
        <f t="shared" si="2"/>
        <v>15</v>
      </c>
      <c r="Q32" s="238"/>
      <c r="R32" s="225">
        <f t="shared" si="4"/>
        <v>28</v>
      </c>
      <c r="S32" s="239" t="str">
        <f t="shared" si="3"/>
        <v>Q221/295</v>
      </c>
    </row>
    <row r="33" spans="2:19" ht="9.75">
      <c r="B33" s="230" t="s">
        <v>352</v>
      </c>
      <c r="C33" s="133">
        <v>5</v>
      </c>
      <c r="D33" s="133"/>
      <c r="E33" s="133">
        <v>2.15</v>
      </c>
      <c r="F33" s="240">
        <v>150</v>
      </c>
      <c r="G33" s="237">
        <v>150</v>
      </c>
      <c r="H33" s="241">
        <v>7</v>
      </c>
      <c r="I33" s="134"/>
      <c r="J33" s="242">
        <v>5</v>
      </c>
      <c r="K33" s="233">
        <f>VLOOKUP($H33,'ÇELİK HASIR-KESİT TABLOSU'!$B$8:$AA$30,HLOOKUP($F33,'ÇELİK HASIR-KESİT TABLOSU'!$B$5:$AA$8,3,FALSE)+3)*(IF(I33="d",2,1))</f>
        <v>2.57</v>
      </c>
      <c r="L33" s="234">
        <f>VLOOKUP($J33,'ÇELİK HASIR-KESİT TABLOSU'!$B$8:$AA$30,HLOOKUP($G33,'ÇELİK HASIR-KESİT TABLOSU'!$B$5:$AA$8,3,FALSE)+3)</f>
        <v>1.31</v>
      </c>
      <c r="M33" s="235">
        <f t="shared" si="0"/>
        <v>3.12</v>
      </c>
      <c r="N33" s="236">
        <f>ROUND((C33*P33*(VLOOKUP(H33,'ÇELİK HASIR-KESİT TABLOSU'!$B$8:$AA$30,2)))+(E33*O33*(VLOOKUP(J33,'ÇELİK HASIR-KESİT TABLOSU'!$B$8:$AA$30,2))),2)</f>
        <v>33.59</v>
      </c>
      <c r="O33" s="225">
        <f t="shared" si="1"/>
        <v>33</v>
      </c>
      <c r="P33" s="237">
        <f t="shared" si="2"/>
        <v>15</v>
      </c>
      <c r="Q33" s="238"/>
      <c r="R33" s="225">
        <f t="shared" si="4"/>
        <v>29</v>
      </c>
      <c r="S33" s="239" t="str">
        <f t="shared" si="3"/>
        <v>Q257/131</v>
      </c>
    </row>
    <row r="34" spans="2:19" ht="9.75">
      <c r="B34" s="230" t="s">
        <v>353</v>
      </c>
      <c r="C34" s="133">
        <v>5</v>
      </c>
      <c r="D34" s="133"/>
      <c r="E34" s="133">
        <v>2.15</v>
      </c>
      <c r="F34" s="240">
        <v>150</v>
      </c>
      <c r="G34" s="237">
        <v>150</v>
      </c>
      <c r="H34" s="241">
        <v>7</v>
      </c>
      <c r="I34" s="134"/>
      <c r="J34" s="242">
        <v>5.5</v>
      </c>
      <c r="K34" s="233">
        <f>VLOOKUP($H34,'ÇELİK HASIR-KESİT TABLOSU'!$B$8:$AA$30,HLOOKUP($F34,'ÇELİK HASIR-KESİT TABLOSU'!$B$5:$AA$8,3,FALSE)+3)*(IF(I34="d",2,1))</f>
        <v>2.57</v>
      </c>
      <c r="L34" s="234">
        <f>VLOOKUP($J34,'ÇELİK HASIR-KESİT TABLOSU'!$B$8:$AA$30,HLOOKUP($G34,'ÇELİK HASIR-KESİT TABLOSU'!$B$5:$AA$8,3,FALSE)+3)</f>
        <v>1.58</v>
      </c>
      <c r="M34" s="235">
        <f t="shared" si="0"/>
        <v>3.34</v>
      </c>
      <c r="N34" s="236">
        <f>ROUND((C34*P34*(VLOOKUP(H34,'ÇELİK HASIR-KESİT TABLOSU'!$B$8:$AA$30,2)))+(E34*O34*(VLOOKUP(J34,'ÇELİK HASIR-KESİT TABLOSU'!$B$8:$AA$30,2))),2)</f>
        <v>35.89</v>
      </c>
      <c r="O34" s="225">
        <f t="shared" si="1"/>
        <v>33</v>
      </c>
      <c r="P34" s="237">
        <f t="shared" si="2"/>
        <v>15</v>
      </c>
      <c r="Q34" s="238"/>
      <c r="R34" s="225">
        <f t="shared" si="4"/>
        <v>30</v>
      </c>
      <c r="S34" s="239" t="str">
        <f t="shared" si="3"/>
        <v>Q257/158</v>
      </c>
    </row>
    <row r="35" spans="2:19" ht="9.75">
      <c r="B35" s="230" t="s">
        <v>354</v>
      </c>
      <c r="C35" s="133">
        <v>5</v>
      </c>
      <c r="D35" s="133"/>
      <c r="E35" s="133">
        <v>2.15</v>
      </c>
      <c r="F35" s="240">
        <v>150</v>
      </c>
      <c r="G35" s="237">
        <v>150</v>
      </c>
      <c r="H35" s="241">
        <v>7</v>
      </c>
      <c r="I35" s="134"/>
      <c r="J35" s="242">
        <v>6</v>
      </c>
      <c r="K35" s="233">
        <f>VLOOKUP($H35,'ÇELİK HASIR-KESİT TABLOSU'!$B$8:$AA$30,HLOOKUP($F35,'ÇELİK HASIR-KESİT TABLOSU'!$B$5:$AA$8,3,FALSE)+3)*(IF(I35="d",2,1))</f>
        <v>2.57</v>
      </c>
      <c r="L35" s="234">
        <f>VLOOKUP($J35,'ÇELİK HASIR-KESİT TABLOSU'!$B$8:$AA$30,HLOOKUP($G35,'ÇELİK HASIR-KESİT TABLOSU'!$B$5:$AA$8,3,FALSE)+3)</f>
        <v>1.88</v>
      </c>
      <c r="M35" s="235">
        <f t="shared" si="0"/>
        <v>3.57</v>
      </c>
      <c r="N35" s="236">
        <f>ROUND((C35*P35*(VLOOKUP(H35,'ÇELİK HASIR-KESİT TABLOSU'!$B$8:$AA$30,2)))+(E35*O35*(VLOOKUP(J35,'ÇELİK HASIR-KESİT TABLOSU'!$B$8:$AA$30,2))),2)</f>
        <v>38.41</v>
      </c>
      <c r="O35" s="225">
        <f t="shared" si="1"/>
        <v>33</v>
      </c>
      <c r="P35" s="237">
        <f t="shared" si="2"/>
        <v>15</v>
      </c>
      <c r="Q35" s="238"/>
      <c r="R35" s="225">
        <f t="shared" si="4"/>
        <v>31</v>
      </c>
      <c r="S35" s="239" t="str">
        <f t="shared" si="3"/>
        <v>Q257/188</v>
      </c>
    </row>
    <row r="36" spans="2:19" ht="9.75">
      <c r="B36" s="230" t="s">
        <v>355</v>
      </c>
      <c r="C36" s="133">
        <v>5</v>
      </c>
      <c r="D36" s="133"/>
      <c r="E36" s="133">
        <v>2.15</v>
      </c>
      <c r="F36" s="240">
        <v>150</v>
      </c>
      <c r="G36" s="237">
        <v>150</v>
      </c>
      <c r="H36" s="241">
        <v>7</v>
      </c>
      <c r="I36" s="134"/>
      <c r="J36" s="242">
        <v>6.5</v>
      </c>
      <c r="K36" s="233">
        <f>VLOOKUP($H36,'ÇELİK HASIR-KESİT TABLOSU'!$B$8:$AA$30,HLOOKUP($F36,'ÇELİK HASIR-KESİT TABLOSU'!$B$5:$AA$8,3,FALSE)+3)*(IF(I36="d",2,1))</f>
        <v>2.57</v>
      </c>
      <c r="L36" s="234">
        <f>VLOOKUP($J36,'ÇELİK HASIR-KESİT TABLOSU'!$B$8:$AA$30,HLOOKUP($G36,'ÇELİK HASIR-KESİT TABLOSU'!$B$5:$AA$8,3,FALSE)+3)</f>
        <v>2.21</v>
      </c>
      <c r="M36" s="235">
        <f t="shared" si="0"/>
        <v>3.83</v>
      </c>
      <c r="N36" s="236">
        <f>ROUND((C36*P36*(VLOOKUP(H36,'ÇELİK HASIR-KESİT TABLOSU'!$B$8:$AA$30,2)))+(E36*O36*(VLOOKUP(J36,'ÇELİK HASIR-KESİT TABLOSU'!$B$8:$AA$30,2))),2)</f>
        <v>41.14</v>
      </c>
      <c r="O36" s="225">
        <f t="shared" si="1"/>
        <v>33</v>
      </c>
      <c r="P36" s="237">
        <f t="shared" si="2"/>
        <v>15</v>
      </c>
      <c r="Q36" s="238"/>
      <c r="R36" s="225">
        <f t="shared" si="4"/>
        <v>32</v>
      </c>
      <c r="S36" s="239" t="str">
        <f t="shared" si="3"/>
        <v>Q257/221</v>
      </c>
    </row>
    <row r="37" spans="2:19" ht="9.75">
      <c r="B37" s="230" t="s">
        <v>356</v>
      </c>
      <c r="C37" s="133">
        <v>5</v>
      </c>
      <c r="D37" s="133"/>
      <c r="E37" s="133">
        <v>2.15</v>
      </c>
      <c r="F37" s="240">
        <v>150</v>
      </c>
      <c r="G37" s="237">
        <v>150</v>
      </c>
      <c r="H37" s="241">
        <v>7</v>
      </c>
      <c r="I37" s="134"/>
      <c r="J37" s="242">
        <v>7</v>
      </c>
      <c r="K37" s="233">
        <f>VLOOKUP($H37,'ÇELİK HASIR-KESİT TABLOSU'!$B$8:$AA$30,HLOOKUP($F37,'ÇELİK HASIR-KESİT TABLOSU'!$B$5:$AA$8,3,FALSE)+3)*(IF(I37="d",2,1))</f>
        <v>2.57</v>
      </c>
      <c r="L37" s="234">
        <f>VLOOKUP($J37,'ÇELİK HASIR-KESİT TABLOSU'!$B$8:$AA$30,HLOOKUP($G37,'ÇELİK HASIR-KESİT TABLOSU'!$B$5:$AA$8,3,FALSE)+3)</f>
        <v>2.57</v>
      </c>
      <c r="M37" s="235">
        <f t="shared" si="0"/>
        <v>4.1</v>
      </c>
      <c r="N37" s="236">
        <f>ROUND((C37*P37*(VLOOKUP(H37,'ÇELİK HASIR-KESİT TABLOSU'!$B$8:$AA$30,2)))+(E37*O37*(VLOOKUP(J37,'ÇELİK HASIR-KESİT TABLOSU'!$B$8:$AA$30,2))),2)</f>
        <v>44.09</v>
      </c>
      <c r="O37" s="225">
        <f t="shared" si="1"/>
        <v>33</v>
      </c>
      <c r="P37" s="237">
        <f t="shared" si="2"/>
        <v>15</v>
      </c>
      <c r="Q37" s="238"/>
      <c r="R37" s="225">
        <f t="shared" si="4"/>
        <v>33</v>
      </c>
      <c r="S37" s="239" t="str">
        <f t="shared" si="3"/>
        <v>Q257/257</v>
      </c>
    </row>
    <row r="38" spans="2:19" ht="9.75">
      <c r="B38" s="230" t="s">
        <v>357</v>
      </c>
      <c r="C38" s="133">
        <v>5</v>
      </c>
      <c r="D38" s="133"/>
      <c r="E38" s="133">
        <v>2.15</v>
      </c>
      <c r="F38" s="240">
        <v>150</v>
      </c>
      <c r="G38" s="237">
        <v>150</v>
      </c>
      <c r="H38" s="241">
        <v>7</v>
      </c>
      <c r="I38" s="134"/>
      <c r="J38" s="242">
        <v>7.5</v>
      </c>
      <c r="K38" s="233">
        <f>VLOOKUP($H38,'ÇELİK HASIR-KESİT TABLOSU'!$B$8:$AA$30,HLOOKUP($F38,'ÇELİK HASIR-KESİT TABLOSU'!$B$5:$AA$8,3,FALSE)+3)*(IF(I38="d",2,1))</f>
        <v>2.57</v>
      </c>
      <c r="L38" s="234">
        <f>VLOOKUP($J38,'ÇELİK HASIR-KESİT TABLOSU'!$B$8:$AA$30,HLOOKUP($G38,'ÇELİK HASIR-KESİT TABLOSU'!$B$5:$AA$8,3,FALSE)+3)</f>
        <v>2.95</v>
      </c>
      <c r="M38" s="235">
        <f t="shared" si="0"/>
        <v>4.4</v>
      </c>
      <c r="N38" s="236">
        <f>ROUND((C38*P38*(VLOOKUP(H38,'ÇELİK HASIR-KESİT TABLOSU'!$B$8:$AA$30,2)))+(E38*O38*(VLOOKUP(J38,'ÇELİK HASIR-KESİT TABLOSU'!$B$8:$AA$30,2))),2)</f>
        <v>47.26</v>
      </c>
      <c r="O38" s="225">
        <f t="shared" si="1"/>
        <v>33</v>
      </c>
      <c r="P38" s="237">
        <f t="shared" si="2"/>
        <v>15</v>
      </c>
      <c r="Q38" s="238"/>
      <c r="R38" s="225">
        <f t="shared" si="4"/>
        <v>34</v>
      </c>
      <c r="S38" s="239" t="str">
        <f t="shared" si="3"/>
        <v>Q257/295</v>
      </c>
    </row>
    <row r="39" spans="2:19" ht="9.75">
      <c r="B39" s="230" t="s">
        <v>358</v>
      </c>
      <c r="C39" s="133">
        <v>5</v>
      </c>
      <c r="D39" s="133"/>
      <c r="E39" s="133">
        <v>2.15</v>
      </c>
      <c r="F39" s="240">
        <v>150</v>
      </c>
      <c r="G39" s="237">
        <v>150</v>
      </c>
      <c r="H39" s="241">
        <v>7.5</v>
      </c>
      <c r="I39" s="134"/>
      <c r="J39" s="242">
        <v>5</v>
      </c>
      <c r="K39" s="233">
        <f>VLOOKUP($H39,'ÇELİK HASIR-KESİT TABLOSU'!$B$8:$AA$30,HLOOKUP($F39,'ÇELİK HASIR-KESİT TABLOSU'!$B$5:$AA$8,3,FALSE)+3)*(IF(I39="d",2,1))</f>
        <v>2.95</v>
      </c>
      <c r="L39" s="234">
        <f>VLOOKUP($J39,'ÇELİK HASIR-KESİT TABLOSU'!$B$8:$AA$30,HLOOKUP($G39,'ÇELİK HASIR-KESİT TABLOSU'!$B$5:$AA$8,3,FALSE)+3)</f>
        <v>1.31</v>
      </c>
      <c r="M39" s="235">
        <f t="shared" si="0"/>
        <v>3.44</v>
      </c>
      <c r="N39" s="236">
        <f>ROUND((C39*P39*(VLOOKUP(H39,'ÇELİK HASIR-KESİT TABLOSU'!$B$8:$AA$30,2)))+(E39*O39*(VLOOKUP(J39,'ÇELİK HASIR-KESİT TABLOSU'!$B$8:$AA$30,2))),2)</f>
        <v>36.95</v>
      </c>
      <c r="O39" s="225">
        <f t="shared" si="1"/>
        <v>33</v>
      </c>
      <c r="P39" s="237">
        <f t="shared" si="2"/>
        <v>15</v>
      </c>
      <c r="Q39" s="238"/>
      <c r="R39" s="225">
        <f t="shared" si="4"/>
        <v>35</v>
      </c>
      <c r="S39" s="239" t="str">
        <f t="shared" si="3"/>
        <v>Q295/131</v>
      </c>
    </row>
    <row r="40" spans="2:19" ht="9.75">
      <c r="B40" s="230" t="s">
        <v>359</v>
      </c>
      <c r="C40" s="133">
        <v>5</v>
      </c>
      <c r="D40" s="133"/>
      <c r="E40" s="133">
        <v>2.15</v>
      </c>
      <c r="F40" s="240">
        <v>150</v>
      </c>
      <c r="G40" s="237">
        <v>150</v>
      </c>
      <c r="H40" s="241">
        <v>7.5</v>
      </c>
      <c r="I40" s="134"/>
      <c r="J40" s="242">
        <v>5.5</v>
      </c>
      <c r="K40" s="233">
        <f>VLOOKUP($H40,'ÇELİK HASIR-KESİT TABLOSU'!$B$8:$AA$30,HLOOKUP($F40,'ÇELİK HASIR-KESİT TABLOSU'!$B$5:$AA$8,3,FALSE)+3)*(IF(I40="d",2,1))</f>
        <v>2.95</v>
      </c>
      <c r="L40" s="234">
        <f>VLOOKUP($J40,'ÇELİK HASIR-KESİT TABLOSU'!$B$8:$AA$30,HLOOKUP($G40,'ÇELİK HASIR-KESİT TABLOSU'!$B$5:$AA$8,3,FALSE)+3)</f>
        <v>1.58</v>
      </c>
      <c r="M40" s="235">
        <f t="shared" si="0"/>
        <v>3.65</v>
      </c>
      <c r="N40" s="236">
        <f>ROUND((C40*P40*(VLOOKUP(H40,'ÇELİK HASIR-KESİT TABLOSU'!$B$8:$AA$30,2)))+(E40*O40*(VLOOKUP(J40,'ÇELİK HASIR-KESİT TABLOSU'!$B$8:$AA$30,2))),2)</f>
        <v>39.24</v>
      </c>
      <c r="O40" s="225">
        <f t="shared" si="1"/>
        <v>33</v>
      </c>
      <c r="P40" s="237">
        <f t="shared" si="2"/>
        <v>15</v>
      </c>
      <c r="Q40" s="238"/>
      <c r="R40" s="225">
        <f t="shared" si="4"/>
        <v>36</v>
      </c>
      <c r="S40" s="239" t="str">
        <f t="shared" si="3"/>
        <v>Q295/158</v>
      </c>
    </row>
    <row r="41" spans="2:19" ht="9.75">
      <c r="B41" s="230" t="s">
        <v>360</v>
      </c>
      <c r="C41" s="133">
        <v>5</v>
      </c>
      <c r="D41" s="133"/>
      <c r="E41" s="133">
        <v>2.15</v>
      </c>
      <c r="F41" s="240">
        <v>150</v>
      </c>
      <c r="G41" s="237">
        <v>150</v>
      </c>
      <c r="H41" s="241">
        <v>7.5</v>
      </c>
      <c r="I41" s="134"/>
      <c r="J41" s="242">
        <v>6</v>
      </c>
      <c r="K41" s="233">
        <f>VLOOKUP($H41,'ÇELİK HASIR-KESİT TABLOSU'!$B$8:$AA$30,HLOOKUP($F41,'ÇELİK HASIR-KESİT TABLOSU'!$B$5:$AA$8,3,FALSE)+3)*(IF(I41="d",2,1))</f>
        <v>2.95</v>
      </c>
      <c r="L41" s="234">
        <f>VLOOKUP($J41,'ÇELİK HASIR-KESİT TABLOSU'!$B$8:$AA$30,HLOOKUP($G41,'ÇELİK HASIR-KESİT TABLOSU'!$B$5:$AA$8,3,FALSE)+3)</f>
        <v>1.88</v>
      </c>
      <c r="M41" s="235">
        <f t="shared" si="0"/>
        <v>3.88</v>
      </c>
      <c r="N41" s="236">
        <f>ROUND((C41*P41*(VLOOKUP(H41,'ÇELİK HASIR-KESİT TABLOSU'!$B$8:$AA$30,2)))+(E41*O41*(VLOOKUP(J41,'ÇELİK HASIR-KESİT TABLOSU'!$B$8:$AA$30,2))),2)</f>
        <v>41.76</v>
      </c>
      <c r="O41" s="225">
        <f t="shared" si="1"/>
        <v>33</v>
      </c>
      <c r="P41" s="237">
        <f t="shared" si="2"/>
        <v>15</v>
      </c>
      <c r="Q41" s="238"/>
      <c r="R41" s="225">
        <f t="shared" si="4"/>
        <v>37</v>
      </c>
      <c r="S41" s="239" t="str">
        <f t="shared" si="3"/>
        <v>Q295/188</v>
      </c>
    </row>
    <row r="42" spans="2:19" ht="9.75">
      <c r="B42" s="230" t="s">
        <v>361</v>
      </c>
      <c r="C42" s="133">
        <v>5</v>
      </c>
      <c r="D42" s="133"/>
      <c r="E42" s="133">
        <v>2.15</v>
      </c>
      <c r="F42" s="240">
        <v>150</v>
      </c>
      <c r="G42" s="237">
        <v>150</v>
      </c>
      <c r="H42" s="241">
        <v>7.5</v>
      </c>
      <c r="I42" s="134"/>
      <c r="J42" s="242">
        <v>6.5</v>
      </c>
      <c r="K42" s="233">
        <f>VLOOKUP($H42,'ÇELİK HASIR-KESİT TABLOSU'!$B$8:$AA$30,HLOOKUP($F42,'ÇELİK HASIR-KESİT TABLOSU'!$B$5:$AA$8,3,FALSE)+3)*(IF(I42="d",2,1))</f>
        <v>2.95</v>
      </c>
      <c r="L42" s="234">
        <f>VLOOKUP($J42,'ÇELİK HASIR-KESİT TABLOSU'!$B$8:$AA$30,HLOOKUP($G42,'ÇELİK HASIR-KESİT TABLOSU'!$B$5:$AA$8,3,FALSE)+3)</f>
        <v>2.21</v>
      </c>
      <c r="M42" s="235">
        <f t="shared" si="0"/>
        <v>4.14</v>
      </c>
      <c r="N42" s="236">
        <f>ROUND((C42*P42*(VLOOKUP(H42,'ÇELİK HASIR-KESİT TABLOSU'!$B$8:$AA$30,2)))+(E42*O42*(VLOOKUP(J42,'ÇELİK HASIR-KESİT TABLOSU'!$B$8:$AA$30,2))),2)</f>
        <v>44.49</v>
      </c>
      <c r="O42" s="225">
        <f t="shared" si="1"/>
        <v>33</v>
      </c>
      <c r="P42" s="237">
        <f t="shared" si="2"/>
        <v>15</v>
      </c>
      <c r="Q42" s="238"/>
      <c r="R42" s="225">
        <f t="shared" si="4"/>
        <v>38</v>
      </c>
      <c r="S42" s="239" t="str">
        <f t="shared" si="3"/>
        <v>Q295/221</v>
      </c>
    </row>
    <row r="43" spans="2:19" ht="9.75">
      <c r="B43" s="230" t="s">
        <v>362</v>
      </c>
      <c r="C43" s="133">
        <v>5</v>
      </c>
      <c r="D43" s="133"/>
      <c r="E43" s="133">
        <v>2.15</v>
      </c>
      <c r="F43" s="240">
        <v>150</v>
      </c>
      <c r="G43" s="237">
        <v>150</v>
      </c>
      <c r="H43" s="241">
        <v>7.5</v>
      </c>
      <c r="I43" s="134"/>
      <c r="J43" s="242">
        <v>7</v>
      </c>
      <c r="K43" s="233">
        <f>VLOOKUP($H43,'ÇELİK HASIR-KESİT TABLOSU'!$B$8:$AA$30,HLOOKUP($F43,'ÇELİK HASIR-KESİT TABLOSU'!$B$5:$AA$8,3,FALSE)+3)*(IF(I43="d",2,1))</f>
        <v>2.95</v>
      </c>
      <c r="L43" s="234">
        <f>VLOOKUP($J43,'ÇELİK HASIR-KESİT TABLOSU'!$B$8:$AA$30,HLOOKUP($G43,'ÇELİK HASIR-KESİT TABLOSU'!$B$5:$AA$8,3,FALSE)+3)</f>
        <v>2.57</v>
      </c>
      <c r="M43" s="235">
        <f t="shared" si="0"/>
        <v>4.41</v>
      </c>
      <c r="N43" s="236">
        <f>ROUND((C43*P43*(VLOOKUP(H43,'ÇELİK HASIR-KESİT TABLOSU'!$B$8:$AA$30,2)))+(E43*O43*(VLOOKUP(J43,'ÇELİK HASIR-KESİT TABLOSU'!$B$8:$AA$30,2))),2)</f>
        <v>47.44</v>
      </c>
      <c r="O43" s="225">
        <f t="shared" si="1"/>
        <v>33</v>
      </c>
      <c r="P43" s="237">
        <f t="shared" si="2"/>
        <v>15</v>
      </c>
      <c r="Q43" s="238"/>
      <c r="R43" s="225">
        <f t="shared" si="4"/>
        <v>39</v>
      </c>
      <c r="S43" s="239" t="str">
        <f t="shared" si="3"/>
        <v>Q295/257</v>
      </c>
    </row>
    <row r="44" spans="2:19" ht="9.75">
      <c r="B44" s="230" t="s">
        <v>363</v>
      </c>
      <c r="C44" s="133">
        <v>5</v>
      </c>
      <c r="D44" s="133"/>
      <c r="E44" s="133">
        <v>2.15</v>
      </c>
      <c r="F44" s="240">
        <v>150</v>
      </c>
      <c r="G44" s="237">
        <v>150</v>
      </c>
      <c r="H44" s="241">
        <v>7.5</v>
      </c>
      <c r="I44" s="134"/>
      <c r="J44" s="242">
        <v>7.5</v>
      </c>
      <c r="K44" s="233">
        <f>VLOOKUP($H44,'ÇELİK HASIR-KESİT TABLOSU'!$B$8:$AA$30,HLOOKUP($F44,'ÇELİK HASIR-KESİT TABLOSU'!$B$5:$AA$8,3,FALSE)+3)*(IF(I44="d",2,1))</f>
        <v>2.95</v>
      </c>
      <c r="L44" s="234">
        <f>VLOOKUP($J44,'ÇELİK HASIR-KESİT TABLOSU'!$B$8:$AA$30,HLOOKUP($G44,'ÇELİK HASIR-KESİT TABLOSU'!$B$5:$AA$8,3,FALSE)+3)</f>
        <v>2.95</v>
      </c>
      <c r="M44" s="235">
        <f t="shared" si="0"/>
        <v>4.71</v>
      </c>
      <c r="N44" s="236">
        <f>ROUND((C44*P44*(VLOOKUP(H44,'ÇELİK HASIR-KESİT TABLOSU'!$B$8:$AA$30,2)))+(E44*O44*(VLOOKUP(J44,'ÇELİK HASIR-KESİT TABLOSU'!$B$8:$AA$30,2))),2)</f>
        <v>50.62</v>
      </c>
      <c r="O44" s="225">
        <f t="shared" si="1"/>
        <v>33</v>
      </c>
      <c r="P44" s="237">
        <f t="shared" si="2"/>
        <v>15</v>
      </c>
      <c r="Q44" s="238"/>
      <c r="R44" s="225">
        <f t="shared" si="4"/>
        <v>40</v>
      </c>
      <c r="S44" s="239" t="str">
        <f t="shared" si="3"/>
        <v>Q295/295</v>
      </c>
    </row>
    <row r="45" spans="2:19" ht="9.75">
      <c r="B45" s="230" t="s">
        <v>364</v>
      </c>
      <c r="C45" s="133">
        <v>5</v>
      </c>
      <c r="D45" s="133"/>
      <c r="E45" s="133">
        <v>2.15</v>
      </c>
      <c r="F45" s="240">
        <v>150</v>
      </c>
      <c r="G45" s="237">
        <v>150</v>
      </c>
      <c r="H45" s="241">
        <v>5.5</v>
      </c>
      <c r="I45" s="134" t="s">
        <v>365</v>
      </c>
      <c r="J45" s="242">
        <v>5</v>
      </c>
      <c r="K45" s="233">
        <f>VLOOKUP($H45,'ÇELİK HASIR-KESİT TABLOSU'!$B$8:$AA$30,HLOOKUP($F45,'ÇELİK HASIR-KESİT TABLOSU'!$B$5:$AA$8,3,FALSE)+3)*(IF(I45="d",2,1))</f>
        <v>3.16</v>
      </c>
      <c r="L45" s="234">
        <f>VLOOKUP($J45,'ÇELİK HASIR-KESİT TABLOSU'!$B$8:$AA$30,HLOOKUP($G45,'ÇELİK HASIR-KESİT TABLOSU'!$B$5:$AA$8,3,FALSE)+3)</f>
        <v>1.31</v>
      </c>
      <c r="M45" s="235">
        <f t="shared" si="0"/>
        <v>2.93</v>
      </c>
      <c r="N45" s="236">
        <f>ROUND((C45*P45*(VLOOKUP(H45,'ÇELİK HASIR-KESİT TABLOSU'!$B$8:$AA$30,2)))+(E45*O45*(VLOOKUP(J45,'ÇELİK HASIR-KESİT TABLOSU'!$B$8:$AA$30,2))),2)</f>
        <v>31.45</v>
      </c>
      <c r="O45" s="225">
        <f t="shared" si="1"/>
        <v>33</v>
      </c>
      <c r="P45" s="237">
        <f t="shared" si="2"/>
        <v>22</v>
      </c>
      <c r="Q45" s="238"/>
      <c r="R45" s="225">
        <f t="shared" si="4"/>
        <v>41</v>
      </c>
      <c r="S45" s="239" t="str">
        <f t="shared" si="3"/>
        <v>Q317/131</v>
      </c>
    </row>
    <row r="46" spans="2:19" ht="9.75">
      <c r="B46" s="230" t="s">
        <v>366</v>
      </c>
      <c r="C46" s="133">
        <v>5</v>
      </c>
      <c r="D46" s="133"/>
      <c r="E46" s="133">
        <v>2.15</v>
      </c>
      <c r="F46" s="240">
        <v>150</v>
      </c>
      <c r="G46" s="237">
        <v>150</v>
      </c>
      <c r="H46" s="241">
        <v>5.5</v>
      </c>
      <c r="I46" s="134" t="s">
        <v>365</v>
      </c>
      <c r="J46" s="242">
        <v>5.5</v>
      </c>
      <c r="K46" s="233">
        <f>VLOOKUP($H46,'ÇELİK HASIR-KESİT TABLOSU'!$B$8:$AA$30,HLOOKUP($F46,'ÇELİK HASIR-KESİT TABLOSU'!$B$5:$AA$8,3,FALSE)+3)*(IF(I46="d",2,1))</f>
        <v>3.16</v>
      </c>
      <c r="L46" s="234">
        <f>VLOOKUP($J46,'ÇELİK HASIR-KESİT TABLOSU'!$B$8:$AA$30,HLOOKUP($G46,'ÇELİK HASIR-KESİT TABLOSU'!$B$5:$AA$8,3,FALSE)+3)</f>
        <v>1.58</v>
      </c>
      <c r="M46" s="235">
        <f t="shared" si="0"/>
        <v>3.14</v>
      </c>
      <c r="N46" s="236">
        <f>ROUND((C46*P46*(VLOOKUP(H46,'ÇELİK HASIR-KESİT TABLOSU'!$B$8:$AA$30,2)))+(E46*O46*(VLOOKUP(J46,'ÇELİK HASIR-KESİT TABLOSU'!$B$8:$AA$30,2))),2)</f>
        <v>33.75</v>
      </c>
      <c r="O46" s="225">
        <f t="shared" si="1"/>
        <v>33</v>
      </c>
      <c r="P46" s="237">
        <f t="shared" si="2"/>
        <v>22</v>
      </c>
      <c r="Q46" s="238"/>
      <c r="R46" s="225">
        <f t="shared" si="4"/>
        <v>42</v>
      </c>
      <c r="S46" s="239" t="str">
        <f t="shared" si="3"/>
        <v>Q317/158</v>
      </c>
    </row>
    <row r="47" spans="2:19" ht="9.75">
      <c r="B47" s="230" t="s">
        <v>367</v>
      </c>
      <c r="C47" s="133">
        <v>5</v>
      </c>
      <c r="D47" s="133"/>
      <c r="E47" s="133">
        <v>2.15</v>
      </c>
      <c r="F47" s="240">
        <v>150</v>
      </c>
      <c r="G47" s="237">
        <v>150</v>
      </c>
      <c r="H47" s="241">
        <v>5.5</v>
      </c>
      <c r="I47" s="134" t="s">
        <v>365</v>
      </c>
      <c r="J47" s="242">
        <v>6</v>
      </c>
      <c r="K47" s="233">
        <f>VLOOKUP($H47,'ÇELİK HASIR-KESİT TABLOSU'!$B$8:$AA$30,HLOOKUP($F47,'ÇELİK HASIR-KESİT TABLOSU'!$B$5:$AA$8,3,FALSE)+3)*(IF(I47="d",2,1))</f>
        <v>3.16</v>
      </c>
      <c r="L47" s="234">
        <f>VLOOKUP($J47,'ÇELİK HASIR-KESİT TABLOSU'!$B$8:$AA$30,HLOOKUP($G47,'ÇELİK HASIR-KESİT TABLOSU'!$B$5:$AA$8,3,FALSE)+3)</f>
        <v>1.88</v>
      </c>
      <c r="M47" s="235">
        <f t="shared" si="0"/>
        <v>3.37</v>
      </c>
      <c r="N47" s="236">
        <f>ROUND((C47*P47*(VLOOKUP(H47,'ÇELİK HASIR-KESİT TABLOSU'!$B$8:$AA$30,2)))+(E47*O47*(VLOOKUP(J47,'ÇELİK HASIR-KESİT TABLOSU'!$B$8:$AA$30,2))),2)</f>
        <v>36.26</v>
      </c>
      <c r="O47" s="225">
        <f t="shared" si="1"/>
        <v>33</v>
      </c>
      <c r="P47" s="237">
        <f t="shared" si="2"/>
        <v>22</v>
      </c>
      <c r="Q47" s="238"/>
      <c r="R47" s="225">
        <f t="shared" si="4"/>
        <v>43</v>
      </c>
      <c r="S47" s="239" t="str">
        <f t="shared" si="3"/>
        <v>Q317/188</v>
      </c>
    </row>
    <row r="48" spans="2:19" ht="9.75">
      <c r="B48" s="243" t="s">
        <v>368</v>
      </c>
      <c r="C48" s="136">
        <v>5</v>
      </c>
      <c r="D48" s="133"/>
      <c r="E48" s="136">
        <v>2.15</v>
      </c>
      <c r="F48" s="240">
        <v>150</v>
      </c>
      <c r="G48" s="237">
        <v>150</v>
      </c>
      <c r="H48" s="241">
        <v>5.5</v>
      </c>
      <c r="I48" s="134" t="s">
        <v>365</v>
      </c>
      <c r="J48" s="242">
        <v>6.5</v>
      </c>
      <c r="K48" s="244">
        <f>VLOOKUP($H48,'ÇELİK HASIR-KESİT TABLOSU'!$B$8:$AA$30,HLOOKUP($F48,'ÇELİK HASIR-KESİT TABLOSU'!$B$5:$AA$8,3,FALSE)+3)*(IF(I48="d",2,1))</f>
        <v>3.16</v>
      </c>
      <c r="L48" s="245">
        <f>VLOOKUP($J48,'ÇELİK HASIR-KESİT TABLOSU'!$B$8:$AA$30,HLOOKUP($G48,'ÇELİK HASIR-KESİT TABLOSU'!$B$5:$AA$8,3,FALSE)+3)</f>
        <v>2.21</v>
      </c>
      <c r="M48" s="235">
        <f t="shared" si="0"/>
        <v>3.63</v>
      </c>
      <c r="N48" s="236">
        <f>ROUND((C48*P48*(VLOOKUP(H48,'ÇELİK HASIR-KESİT TABLOSU'!$B$8:$AA$30,2)))+(E48*O48*(VLOOKUP(J48,'ÇELİK HASIR-KESİT TABLOSU'!$B$8:$AA$30,2))),2)</f>
        <v>39</v>
      </c>
      <c r="O48" s="240">
        <f t="shared" si="1"/>
        <v>33</v>
      </c>
      <c r="P48" s="237">
        <f t="shared" si="2"/>
        <v>22</v>
      </c>
      <c r="Q48" s="238"/>
      <c r="R48" s="225">
        <f t="shared" si="4"/>
        <v>44</v>
      </c>
      <c r="S48" s="239" t="str">
        <f t="shared" si="3"/>
        <v>Q317/221</v>
      </c>
    </row>
    <row r="49" spans="2:19" ht="9.75">
      <c r="B49" s="243" t="s">
        <v>369</v>
      </c>
      <c r="C49" s="136">
        <v>5</v>
      </c>
      <c r="D49" s="133"/>
      <c r="E49" s="136">
        <v>2.15</v>
      </c>
      <c r="F49" s="240">
        <v>150</v>
      </c>
      <c r="G49" s="237">
        <v>150</v>
      </c>
      <c r="H49" s="241">
        <v>5.5</v>
      </c>
      <c r="I49" s="134" t="s">
        <v>365</v>
      </c>
      <c r="J49" s="242">
        <v>7</v>
      </c>
      <c r="K49" s="244">
        <f>VLOOKUP($H49,'ÇELİK HASIR-KESİT TABLOSU'!$B$8:$AA$30,HLOOKUP($F49,'ÇELİK HASIR-KESİT TABLOSU'!$B$5:$AA$8,3,FALSE)+3)*(IF(I49="d",2,1))</f>
        <v>3.16</v>
      </c>
      <c r="L49" s="245">
        <f>VLOOKUP($J49,'ÇELİK HASIR-KESİT TABLOSU'!$B$8:$AA$30,HLOOKUP($G49,'ÇELİK HASIR-KESİT TABLOSU'!$B$5:$AA$8,3,FALSE)+3)</f>
        <v>2.57</v>
      </c>
      <c r="M49" s="235">
        <f t="shared" si="0"/>
        <v>3.9</v>
      </c>
      <c r="N49" s="236">
        <f>ROUND((C49*P49*(VLOOKUP(H49,'ÇELİK HASIR-KESİT TABLOSU'!$B$8:$AA$30,2)))+(E49*O49*(VLOOKUP(J49,'ÇELİK HASIR-KESİT TABLOSU'!$B$8:$AA$30,2))),2)</f>
        <v>41.95</v>
      </c>
      <c r="O49" s="240">
        <f t="shared" si="1"/>
        <v>33</v>
      </c>
      <c r="P49" s="237">
        <f t="shared" si="2"/>
        <v>22</v>
      </c>
      <c r="Q49" s="238"/>
      <c r="R49" s="225">
        <f t="shared" si="4"/>
        <v>45</v>
      </c>
      <c r="S49" s="239" t="str">
        <f t="shared" si="3"/>
        <v>Q317/257</v>
      </c>
    </row>
    <row r="50" spans="2:19" ht="9.75">
      <c r="B50" s="243" t="s">
        <v>370</v>
      </c>
      <c r="C50" s="136">
        <v>5</v>
      </c>
      <c r="D50" s="133"/>
      <c r="E50" s="136">
        <v>2.15</v>
      </c>
      <c r="F50" s="240">
        <v>150</v>
      </c>
      <c r="G50" s="237">
        <v>150</v>
      </c>
      <c r="H50" s="241">
        <v>5.5</v>
      </c>
      <c r="I50" s="134" t="s">
        <v>365</v>
      </c>
      <c r="J50" s="242">
        <v>7.5</v>
      </c>
      <c r="K50" s="244">
        <f>VLOOKUP($H50,'ÇELİK HASIR-KESİT TABLOSU'!$B$8:$AA$30,HLOOKUP($F50,'ÇELİK HASIR-KESİT TABLOSU'!$B$5:$AA$8,3,FALSE)+3)*(IF(I50="d",2,1))</f>
        <v>3.16</v>
      </c>
      <c r="L50" s="245">
        <f>VLOOKUP($J50,'ÇELİK HASIR-KESİT TABLOSU'!$B$8:$AA$30,HLOOKUP($G50,'ÇELİK HASIR-KESİT TABLOSU'!$B$5:$AA$8,3,FALSE)+3)</f>
        <v>2.95</v>
      </c>
      <c r="M50" s="235">
        <f t="shared" si="0"/>
        <v>4.2</v>
      </c>
      <c r="N50" s="236">
        <f>ROUND((C50*P50*(VLOOKUP(H50,'ÇELİK HASIR-KESİT TABLOSU'!$B$8:$AA$30,2)))+(E50*O50*(VLOOKUP(J50,'ÇELİK HASIR-KESİT TABLOSU'!$B$8:$AA$30,2))),2)</f>
        <v>45.12</v>
      </c>
      <c r="O50" s="240">
        <f t="shared" si="1"/>
        <v>33</v>
      </c>
      <c r="P50" s="237">
        <f t="shared" si="2"/>
        <v>22</v>
      </c>
      <c r="Q50" s="238"/>
      <c r="R50" s="225">
        <f t="shared" si="4"/>
        <v>46</v>
      </c>
      <c r="S50" s="239" t="str">
        <f t="shared" si="3"/>
        <v>Q317/295</v>
      </c>
    </row>
    <row r="51" spans="2:19" ht="9.75">
      <c r="B51" s="243" t="s">
        <v>371</v>
      </c>
      <c r="C51" s="136">
        <v>5</v>
      </c>
      <c r="D51" s="133"/>
      <c r="E51" s="136">
        <v>2.15</v>
      </c>
      <c r="F51" s="240">
        <v>150</v>
      </c>
      <c r="G51" s="237">
        <v>150</v>
      </c>
      <c r="H51" s="241">
        <v>6</v>
      </c>
      <c r="I51" s="134" t="s">
        <v>365</v>
      </c>
      <c r="J51" s="242">
        <v>5</v>
      </c>
      <c r="K51" s="244">
        <f>VLOOKUP($H51,'ÇELİK HASIR-KESİT TABLOSU'!$B$8:$AA$30,HLOOKUP($F51,'ÇELİK HASIR-KESİT TABLOSU'!$B$5:$AA$8,3,FALSE)+3)*(IF(I51="d",2,1))</f>
        <v>3.76</v>
      </c>
      <c r="L51" s="245">
        <f>VLOOKUP($J51,'ÇELİK HASIR-KESİT TABLOSU'!$B$8:$AA$30,HLOOKUP($G51,'ÇELİK HASIR-KESİT TABLOSU'!$B$5:$AA$8,3,FALSE)+3)</f>
        <v>1.31</v>
      </c>
      <c r="M51" s="235">
        <f t="shared" si="0"/>
        <v>3.29</v>
      </c>
      <c r="N51" s="236">
        <f>ROUND((C51*P51*(VLOOKUP(H51,'ÇELİK HASIR-KESİT TABLOSU'!$B$8:$AA$30,2)))+(E51*O51*(VLOOKUP(J51,'ÇELİK HASIR-KESİT TABLOSU'!$B$8:$AA$30,2))),2)</f>
        <v>35.35</v>
      </c>
      <c r="O51" s="225">
        <f t="shared" si="1"/>
        <v>33</v>
      </c>
      <c r="P51" s="237">
        <f t="shared" si="2"/>
        <v>22</v>
      </c>
      <c r="Q51" s="238"/>
      <c r="R51" s="225">
        <f t="shared" si="4"/>
        <v>47</v>
      </c>
      <c r="S51" s="239" t="str">
        <f t="shared" si="3"/>
        <v>Q377/131</v>
      </c>
    </row>
    <row r="52" spans="2:19" ht="9.75">
      <c r="B52" s="243" t="s">
        <v>372</v>
      </c>
      <c r="C52" s="136">
        <v>5</v>
      </c>
      <c r="D52" s="133"/>
      <c r="E52" s="136">
        <v>2.15</v>
      </c>
      <c r="F52" s="240">
        <v>150</v>
      </c>
      <c r="G52" s="237">
        <v>150</v>
      </c>
      <c r="H52" s="241">
        <v>6</v>
      </c>
      <c r="I52" s="134" t="s">
        <v>365</v>
      </c>
      <c r="J52" s="242">
        <v>5.5</v>
      </c>
      <c r="K52" s="244">
        <f>VLOOKUP($H52,'ÇELİK HASIR-KESİT TABLOSU'!$B$8:$AA$30,HLOOKUP($F52,'ÇELİK HASIR-KESİT TABLOSU'!$B$5:$AA$8,3,FALSE)+3)*(IF(I52="d",2,1))</f>
        <v>3.76</v>
      </c>
      <c r="L52" s="245">
        <f>VLOOKUP($J52,'ÇELİK HASIR-KESİT TABLOSU'!$B$8:$AA$30,HLOOKUP($G52,'ÇELİK HASIR-KESİT TABLOSU'!$B$5:$AA$8,3,FALSE)+3)</f>
        <v>1.58</v>
      </c>
      <c r="M52" s="235">
        <f t="shared" si="0"/>
        <v>3.5</v>
      </c>
      <c r="N52" s="236">
        <f>ROUND((C52*P52*(VLOOKUP(H52,'ÇELİK HASIR-KESİT TABLOSU'!$B$8:$AA$30,2)))+(E52*O52*(VLOOKUP(J52,'ÇELİK HASIR-KESİT TABLOSU'!$B$8:$AA$30,2))),2)</f>
        <v>37.65</v>
      </c>
      <c r="O52" s="225">
        <f t="shared" si="1"/>
        <v>33</v>
      </c>
      <c r="P52" s="237">
        <f t="shared" si="2"/>
        <v>22</v>
      </c>
      <c r="Q52" s="238"/>
      <c r="R52" s="225">
        <f t="shared" si="4"/>
        <v>48</v>
      </c>
      <c r="S52" s="239" t="str">
        <f t="shared" si="3"/>
        <v>Q377/158</v>
      </c>
    </row>
    <row r="53" spans="2:19" ht="9.75">
      <c r="B53" s="243" t="s">
        <v>373</v>
      </c>
      <c r="C53" s="136">
        <v>5</v>
      </c>
      <c r="D53" s="133"/>
      <c r="E53" s="136">
        <v>2.15</v>
      </c>
      <c r="F53" s="240">
        <v>150</v>
      </c>
      <c r="G53" s="237">
        <v>150</v>
      </c>
      <c r="H53" s="241">
        <v>6</v>
      </c>
      <c r="I53" s="134" t="s">
        <v>365</v>
      </c>
      <c r="J53" s="242">
        <v>6</v>
      </c>
      <c r="K53" s="244">
        <f>VLOOKUP($H53,'ÇELİK HASIR-KESİT TABLOSU'!$B$8:$AA$30,HLOOKUP($F53,'ÇELİK HASIR-KESİT TABLOSU'!$B$5:$AA$8,3,FALSE)+3)*(IF(I53="d",2,1))</f>
        <v>3.76</v>
      </c>
      <c r="L53" s="245">
        <f>VLOOKUP($J53,'ÇELİK HASIR-KESİT TABLOSU'!$B$8:$AA$30,HLOOKUP($G53,'ÇELİK HASIR-KESİT TABLOSU'!$B$5:$AA$8,3,FALSE)+3)</f>
        <v>1.88</v>
      </c>
      <c r="M53" s="235">
        <f t="shared" si="0"/>
        <v>3.74</v>
      </c>
      <c r="N53" s="236">
        <f>ROUND((C53*P53*(VLOOKUP(H53,'ÇELİK HASIR-KESİT TABLOSU'!$B$8:$AA$30,2)))+(E53*O53*(VLOOKUP(J53,'ÇELİK HASIR-KESİT TABLOSU'!$B$8:$AA$30,2))),2)</f>
        <v>40.16</v>
      </c>
      <c r="O53" s="225">
        <f t="shared" si="1"/>
        <v>33</v>
      </c>
      <c r="P53" s="237">
        <f t="shared" si="2"/>
        <v>22</v>
      </c>
      <c r="Q53" s="238"/>
      <c r="R53" s="225">
        <f t="shared" si="4"/>
        <v>49</v>
      </c>
      <c r="S53" s="239" t="str">
        <f t="shared" si="3"/>
        <v>Q377/188</v>
      </c>
    </row>
    <row r="54" spans="2:19" ht="9.75">
      <c r="B54" s="243" t="s">
        <v>374</v>
      </c>
      <c r="C54" s="136">
        <v>5</v>
      </c>
      <c r="D54" s="133"/>
      <c r="E54" s="136">
        <v>2.15</v>
      </c>
      <c r="F54" s="240">
        <v>150</v>
      </c>
      <c r="G54" s="237">
        <v>150</v>
      </c>
      <c r="H54" s="241">
        <v>6</v>
      </c>
      <c r="I54" s="134" t="s">
        <v>365</v>
      </c>
      <c r="J54" s="242">
        <v>6.5</v>
      </c>
      <c r="K54" s="244">
        <f>VLOOKUP($H54,'ÇELİK HASIR-KESİT TABLOSU'!$B$8:$AA$30,HLOOKUP($F54,'ÇELİK HASIR-KESİT TABLOSU'!$B$5:$AA$8,3,FALSE)+3)*(IF(I54="d",2,1))</f>
        <v>3.76</v>
      </c>
      <c r="L54" s="245">
        <f>VLOOKUP($J54,'ÇELİK HASIR-KESİT TABLOSU'!$B$8:$AA$30,HLOOKUP($G54,'ÇELİK HASIR-KESİT TABLOSU'!$B$5:$AA$8,3,FALSE)+3)</f>
        <v>2.21</v>
      </c>
      <c r="M54" s="235">
        <f t="shared" si="0"/>
        <v>3.99</v>
      </c>
      <c r="N54" s="236">
        <f>ROUND((C54*P54*(VLOOKUP(H54,'ÇELİK HASIR-KESİT TABLOSU'!$B$8:$AA$30,2)))+(E54*O54*(VLOOKUP(J54,'ÇELİK HASIR-KESİT TABLOSU'!$B$8:$AA$30,2))),2)</f>
        <v>42.9</v>
      </c>
      <c r="O54" s="225">
        <f t="shared" si="1"/>
        <v>33</v>
      </c>
      <c r="P54" s="237">
        <f t="shared" si="2"/>
        <v>22</v>
      </c>
      <c r="Q54" s="238"/>
      <c r="R54" s="225">
        <f t="shared" si="4"/>
        <v>50</v>
      </c>
      <c r="S54" s="239" t="str">
        <f t="shared" si="3"/>
        <v>Q377/221</v>
      </c>
    </row>
    <row r="55" spans="2:19" ht="9.75">
      <c r="B55" s="243" t="s">
        <v>375</v>
      </c>
      <c r="C55" s="136">
        <v>5</v>
      </c>
      <c r="D55" s="133"/>
      <c r="E55" s="136">
        <v>2.15</v>
      </c>
      <c r="F55" s="240">
        <v>150</v>
      </c>
      <c r="G55" s="237">
        <v>150</v>
      </c>
      <c r="H55" s="241">
        <v>6</v>
      </c>
      <c r="I55" s="134" t="s">
        <v>365</v>
      </c>
      <c r="J55" s="242">
        <v>7</v>
      </c>
      <c r="K55" s="244">
        <f>VLOOKUP($H55,'ÇELİK HASIR-KESİT TABLOSU'!$B$8:$AA$30,HLOOKUP($F55,'ÇELİK HASIR-KESİT TABLOSU'!$B$5:$AA$8,3,FALSE)+3)*(IF(I55="d",2,1))</f>
        <v>3.76</v>
      </c>
      <c r="L55" s="245">
        <f>VLOOKUP($J55,'ÇELİK HASIR-KESİT TABLOSU'!$B$8:$AA$30,HLOOKUP($G55,'ÇELİK HASIR-KESİT TABLOSU'!$B$5:$AA$8,3,FALSE)+3)</f>
        <v>2.57</v>
      </c>
      <c r="M55" s="235">
        <f t="shared" si="0"/>
        <v>4.27</v>
      </c>
      <c r="N55" s="236">
        <f>ROUND((C55*P55*(VLOOKUP(H55,'ÇELİK HASIR-KESİT TABLOSU'!$B$8:$AA$30,2)))+(E55*O55*(VLOOKUP(J55,'ÇELİK HASIR-KESİT TABLOSU'!$B$8:$AA$30,2))),2)</f>
        <v>45.85</v>
      </c>
      <c r="O55" s="225">
        <f t="shared" si="1"/>
        <v>33</v>
      </c>
      <c r="P55" s="237">
        <f t="shared" si="2"/>
        <v>22</v>
      </c>
      <c r="Q55" s="238"/>
      <c r="R55" s="225">
        <f t="shared" si="4"/>
        <v>51</v>
      </c>
      <c r="S55" s="239" t="str">
        <f t="shared" si="3"/>
        <v>Q377/257</v>
      </c>
    </row>
    <row r="56" spans="2:19" ht="9.75">
      <c r="B56" s="243" t="s">
        <v>376</v>
      </c>
      <c r="C56" s="136">
        <v>5</v>
      </c>
      <c r="D56" s="133"/>
      <c r="E56" s="136">
        <v>2.15</v>
      </c>
      <c r="F56" s="240">
        <v>150</v>
      </c>
      <c r="G56" s="237">
        <v>150</v>
      </c>
      <c r="H56" s="241">
        <v>6</v>
      </c>
      <c r="I56" s="134" t="s">
        <v>365</v>
      </c>
      <c r="J56" s="242">
        <v>7.5</v>
      </c>
      <c r="K56" s="244">
        <f>VLOOKUP($H56,'ÇELİK HASIR-KESİT TABLOSU'!$B$8:$AA$30,HLOOKUP($F56,'ÇELİK HASIR-KESİT TABLOSU'!$B$5:$AA$8,3,FALSE)+3)*(IF(I56="d",2,1))</f>
        <v>3.76</v>
      </c>
      <c r="L56" s="245">
        <f>VLOOKUP($J56,'ÇELİK HASIR-KESİT TABLOSU'!$B$8:$AA$30,HLOOKUP($G56,'ÇELİK HASIR-KESİT TABLOSU'!$B$5:$AA$8,3,FALSE)+3)</f>
        <v>2.95</v>
      </c>
      <c r="M56" s="235">
        <f t="shared" si="0"/>
        <v>4.56</v>
      </c>
      <c r="N56" s="236">
        <f>ROUND((C56*P56*(VLOOKUP(H56,'ÇELİK HASIR-KESİT TABLOSU'!$B$8:$AA$30,2)))+(E56*O56*(VLOOKUP(J56,'ÇELİK HASIR-KESİT TABLOSU'!$B$8:$AA$30,2))),2)</f>
        <v>49.02</v>
      </c>
      <c r="O56" s="225">
        <f t="shared" si="1"/>
        <v>33</v>
      </c>
      <c r="P56" s="237">
        <f t="shared" si="2"/>
        <v>22</v>
      </c>
      <c r="Q56" s="238"/>
      <c r="R56" s="225">
        <f t="shared" si="4"/>
        <v>52</v>
      </c>
      <c r="S56" s="239" t="str">
        <f t="shared" si="3"/>
        <v>Q377/295</v>
      </c>
    </row>
    <row r="57" spans="2:19" ht="9.75">
      <c r="B57" s="243" t="s">
        <v>377</v>
      </c>
      <c r="C57" s="136">
        <v>5</v>
      </c>
      <c r="D57" s="133"/>
      <c r="E57" s="136">
        <v>2.15</v>
      </c>
      <c r="F57" s="240">
        <v>150</v>
      </c>
      <c r="G57" s="237">
        <v>150</v>
      </c>
      <c r="H57" s="241">
        <v>6.5</v>
      </c>
      <c r="I57" s="134" t="s">
        <v>365</v>
      </c>
      <c r="J57" s="242">
        <v>5.5</v>
      </c>
      <c r="K57" s="244">
        <f>VLOOKUP($H57,'ÇELİK HASIR-KESİT TABLOSU'!$B$8:$AA$30,HLOOKUP($F57,'ÇELİK HASIR-KESİT TABLOSU'!$B$5:$AA$8,3,FALSE)+3)*(IF(I57="d",2,1))</f>
        <v>4.42</v>
      </c>
      <c r="L57" s="245">
        <f>VLOOKUP($J57,'ÇELİK HASIR-KESİT TABLOSU'!$B$8:$AA$30,HLOOKUP($G57,'ÇELİK HASIR-KESİT TABLOSU'!$B$5:$AA$8,3,FALSE)+3)</f>
        <v>1.58</v>
      </c>
      <c r="M57" s="235">
        <f t="shared" si="0"/>
        <v>3.9</v>
      </c>
      <c r="N57" s="236">
        <f>ROUND((C57*P57*(VLOOKUP(H57,'ÇELİK HASIR-KESİT TABLOSU'!$B$8:$AA$30,2)))+(E57*O57*(VLOOKUP(J57,'ÇELİK HASIR-KESİT TABLOSU'!$B$8:$AA$30,2))),2)</f>
        <v>41.89</v>
      </c>
      <c r="O57" s="225">
        <f t="shared" si="1"/>
        <v>33</v>
      </c>
      <c r="P57" s="237">
        <f t="shared" si="2"/>
        <v>22</v>
      </c>
      <c r="Q57" s="238"/>
      <c r="R57" s="225">
        <f t="shared" si="4"/>
        <v>53</v>
      </c>
      <c r="S57" s="239" t="str">
        <f t="shared" si="3"/>
        <v>Q443/158</v>
      </c>
    </row>
    <row r="58" spans="2:19" ht="9.75">
      <c r="B58" s="243" t="s">
        <v>378</v>
      </c>
      <c r="C58" s="136">
        <v>5</v>
      </c>
      <c r="D58" s="133"/>
      <c r="E58" s="136">
        <v>2.15</v>
      </c>
      <c r="F58" s="240">
        <v>150</v>
      </c>
      <c r="G58" s="237">
        <v>150</v>
      </c>
      <c r="H58" s="241">
        <v>6.5</v>
      </c>
      <c r="I58" s="134" t="s">
        <v>365</v>
      </c>
      <c r="J58" s="242">
        <v>6</v>
      </c>
      <c r="K58" s="244">
        <f>VLOOKUP($H58,'ÇELİK HASIR-KESİT TABLOSU'!$B$8:$AA$30,HLOOKUP($F58,'ÇELİK HASIR-KESİT TABLOSU'!$B$5:$AA$8,3,FALSE)+3)*(IF(I58="d",2,1))</f>
        <v>4.42</v>
      </c>
      <c r="L58" s="245">
        <f>VLOOKUP($J58,'ÇELİK HASIR-KESİT TABLOSU'!$B$8:$AA$30,HLOOKUP($G58,'ÇELİK HASIR-KESİT TABLOSU'!$B$5:$AA$8,3,FALSE)+3)</f>
        <v>1.88</v>
      </c>
      <c r="M58" s="235">
        <f t="shared" si="0"/>
        <v>4.13</v>
      </c>
      <c r="N58" s="236">
        <f>ROUND((C58*P58*(VLOOKUP(H58,'ÇELİK HASIR-KESİT TABLOSU'!$B$8:$AA$30,2)))+(E58*O58*(VLOOKUP(J58,'ÇELİK HASIR-KESİT TABLOSU'!$B$8:$AA$30,2))),2)</f>
        <v>44.4</v>
      </c>
      <c r="O58" s="225">
        <f t="shared" si="1"/>
        <v>33</v>
      </c>
      <c r="P58" s="237">
        <f t="shared" si="2"/>
        <v>22</v>
      </c>
      <c r="Q58" s="238"/>
      <c r="R58" s="225">
        <f t="shared" si="4"/>
        <v>54</v>
      </c>
      <c r="S58" s="239" t="str">
        <f t="shared" si="3"/>
        <v>Q443/188</v>
      </c>
    </row>
    <row r="59" spans="2:19" ht="9.75">
      <c r="B59" s="243" t="s">
        <v>379</v>
      </c>
      <c r="C59" s="136">
        <v>5</v>
      </c>
      <c r="D59" s="133"/>
      <c r="E59" s="136">
        <v>2.15</v>
      </c>
      <c r="F59" s="240">
        <v>150</v>
      </c>
      <c r="G59" s="237">
        <v>150</v>
      </c>
      <c r="H59" s="241">
        <v>6.5</v>
      </c>
      <c r="I59" s="134" t="s">
        <v>365</v>
      </c>
      <c r="J59" s="242">
        <v>6.5</v>
      </c>
      <c r="K59" s="244">
        <f>VLOOKUP($H59,'ÇELİK HASIR-KESİT TABLOSU'!$B$8:$AA$30,HLOOKUP($F59,'ÇELİK HASIR-KESİT TABLOSU'!$B$5:$AA$8,3,FALSE)+3)*(IF(I59="d",2,1))</f>
        <v>4.42</v>
      </c>
      <c r="L59" s="245">
        <f>VLOOKUP($J59,'ÇELİK HASIR-KESİT TABLOSU'!$B$8:$AA$30,HLOOKUP($G59,'ÇELİK HASIR-KESİT TABLOSU'!$B$5:$AA$8,3,FALSE)+3)</f>
        <v>2.21</v>
      </c>
      <c r="M59" s="235">
        <f t="shared" si="0"/>
        <v>4.39</v>
      </c>
      <c r="N59" s="236">
        <f>ROUND((C59*P59*(VLOOKUP(H59,'ÇELİK HASIR-KESİT TABLOSU'!$B$8:$AA$30,2)))+(E59*O59*(VLOOKUP(J59,'ÇELİK HASIR-KESİT TABLOSU'!$B$8:$AA$30,2))),2)</f>
        <v>47.14</v>
      </c>
      <c r="O59" s="225">
        <f t="shared" si="1"/>
        <v>33</v>
      </c>
      <c r="P59" s="237">
        <f t="shared" si="2"/>
        <v>22</v>
      </c>
      <c r="Q59" s="238"/>
      <c r="R59" s="225">
        <f t="shared" si="4"/>
        <v>55</v>
      </c>
      <c r="S59" s="239" t="str">
        <f t="shared" si="3"/>
        <v>Q443/221</v>
      </c>
    </row>
    <row r="60" spans="2:19" ht="9.75">
      <c r="B60" s="243" t="s">
        <v>380</v>
      </c>
      <c r="C60" s="136">
        <v>5</v>
      </c>
      <c r="D60" s="133"/>
      <c r="E60" s="136">
        <v>2.15</v>
      </c>
      <c r="F60" s="240">
        <v>150</v>
      </c>
      <c r="G60" s="237">
        <v>150</v>
      </c>
      <c r="H60" s="241">
        <v>6.5</v>
      </c>
      <c r="I60" s="134" t="s">
        <v>365</v>
      </c>
      <c r="J60" s="242">
        <v>7</v>
      </c>
      <c r="K60" s="244">
        <f>VLOOKUP($H60,'ÇELİK HASIR-KESİT TABLOSU'!$B$8:$AA$30,HLOOKUP($F60,'ÇELİK HASIR-KESİT TABLOSU'!$B$5:$AA$8,3,FALSE)+3)*(IF(I60="d",2,1))</f>
        <v>4.42</v>
      </c>
      <c r="L60" s="245">
        <f>VLOOKUP($J60,'ÇELİK HASIR-KESİT TABLOSU'!$B$8:$AA$30,HLOOKUP($G60,'ÇELİK HASIR-KESİT TABLOSU'!$B$5:$AA$8,3,FALSE)+3)</f>
        <v>2.57</v>
      </c>
      <c r="M60" s="235">
        <f t="shared" si="0"/>
        <v>4.66</v>
      </c>
      <c r="N60" s="236">
        <f>ROUND((C60*P60*(VLOOKUP(H60,'ÇELİK HASIR-KESİT TABLOSU'!$B$8:$AA$30,2)))+(E60*O60*(VLOOKUP(J60,'ÇELİK HASIR-KESİT TABLOSU'!$B$8:$AA$30,2))),2)</f>
        <v>50.09</v>
      </c>
      <c r="O60" s="225">
        <f t="shared" si="1"/>
        <v>33</v>
      </c>
      <c r="P60" s="237">
        <f t="shared" si="2"/>
        <v>22</v>
      </c>
      <c r="Q60" s="238"/>
      <c r="R60" s="225">
        <f t="shared" si="4"/>
        <v>56</v>
      </c>
      <c r="S60" s="239" t="str">
        <f t="shared" si="3"/>
        <v>Q443/257</v>
      </c>
    </row>
    <row r="61" spans="2:19" ht="9.75">
      <c r="B61" s="243" t="s">
        <v>381</v>
      </c>
      <c r="C61" s="136">
        <v>5</v>
      </c>
      <c r="D61" s="133"/>
      <c r="E61" s="136">
        <v>2.15</v>
      </c>
      <c r="F61" s="240">
        <v>150</v>
      </c>
      <c r="G61" s="237">
        <v>150</v>
      </c>
      <c r="H61" s="241">
        <v>6.5</v>
      </c>
      <c r="I61" s="134" t="s">
        <v>365</v>
      </c>
      <c r="J61" s="242">
        <v>7.5</v>
      </c>
      <c r="K61" s="244">
        <f>VLOOKUP($H61,'ÇELİK HASIR-KESİT TABLOSU'!$B$8:$AA$30,HLOOKUP($F61,'ÇELİK HASIR-KESİT TABLOSU'!$B$5:$AA$8,3,FALSE)+3)*(IF(I61="d",2,1))</f>
        <v>4.42</v>
      </c>
      <c r="L61" s="245">
        <f>VLOOKUP($J61,'ÇELİK HASIR-KESİT TABLOSU'!$B$8:$AA$30,HLOOKUP($G61,'ÇELİK HASIR-KESİT TABLOSU'!$B$5:$AA$8,3,FALSE)+3)</f>
        <v>2.95</v>
      </c>
      <c r="M61" s="235">
        <f t="shared" si="0"/>
        <v>4.95</v>
      </c>
      <c r="N61" s="236">
        <f>ROUND((C61*P61*(VLOOKUP(H61,'ÇELİK HASIR-KESİT TABLOSU'!$B$8:$AA$30,2)))+(E61*O61*(VLOOKUP(J61,'ÇELİK HASIR-KESİT TABLOSU'!$B$8:$AA$30,2))),2)</f>
        <v>53.26</v>
      </c>
      <c r="O61" s="225">
        <f t="shared" si="1"/>
        <v>33</v>
      </c>
      <c r="P61" s="237">
        <f t="shared" si="2"/>
        <v>22</v>
      </c>
      <c r="Q61" s="238"/>
      <c r="R61" s="225">
        <f t="shared" si="4"/>
        <v>57</v>
      </c>
      <c r="S61" s="239" t="str">
        <f t="shared" si="3"/>
        <v>Q443/295</v>
      </c>
    </row>
    <row r="62" spans="2:19" ht="9.75">
      <c r="B62" s="243" t="s">
        <v>382</v>
      </c>
      <c r="C62" s="136">
        <v>5</v>
      </c>
      <c r="D62" s="133"/>
      <c r="E62" s="136">
        <v>2.15</v>
      </c>
      <c r="F62" s="240">
        <v>150</v>
      </c>
      <c r="G62" s="237">
        <v>150</v>
      </c>
      <c r="H62" s="241">
        <v>7</v>
      </c>
      <c r="I62" s="134" t="s">
        <v>365</v>
      </c>
      <c r="J62" s="242">
        <v>6</v>
      </c>
      <c r="K62" s="244">
        <f>VLOOKUP($H62,'ÇELİK HASIR-KESİT TABLOSU'!$B$8:$AA$30,HLOOKUP($F62,'ÇELİK HASIR-KESİT TABLOSU'!$B$5:$AA$8,3,FALSE)+3)*(IF(I62="d",2,1))</f>
        <v>5.14</v>
      </c>
      <c r="L62" s="245">
        <f>VLOOKUP($J62,'ÇELİK HASIR-KESİT TABLOSU'!$B$8:$AA$30,HLOOKUP($G62,'ÇELİK HASIR-KESİT TABLOSU'!$B$5:$AA$8,3,FALSE)+3)</f>
        <v>1.88</v>
      </c>
      <c r="M62" s="235">
        <f t="shared" si="0"/>
        <v>4.56</v>
      </c>
      <c r="N62" s="236">
        <f>ROUND((C62*P62*(VLOOKUP(H62,'ÇELİK HASIR-KESİT TABLOSU'!$B$8:$AA$30,2)))+(E62*O62*(VLOOKUP(J62,'ÇELİK HASIR-KESİT TABLOSU'!$B$8:$AA$30,2))),2)</f>
        <v>48.98</v>
      </c>
      <c r="O62" s="225">
        <f t="shared" si="1"/>
        <v>33</v>
      </c>
      <c r="P62" s="237">
        <f t="shared" si="2"/>
        <v>22</v>
      </c>
      <c r="Q62" s="238"/>
      <c r="R62" s="225">
        <f t="shared" si="4"/>
        <v>58</v>
      </c>
      <c r="S62" s="239" t="str">
        <f t="shared" si="3"/>
        <v>Q513/188</v>
      </c>
    </row>
    <row r="63" spans="2:19" ht="9.75">
      <c r="B63" s="243" t="s">
        <v>383</v>
      </c>
      <c r="C63" s="136">
        <v>5</v>
      </c>
      <c r="D63" s="133"/>
      <c r="E63" s="136">
        <v>2.15</v>
      </c>
      <c r="F63" s="240">
        <v>150</v>
      </c>
      <c r="G63" s="237">
        <v>150</v>
      </c>
      <c r="H63" s="241">
        <v>7</v>
      </c>
      <c r="I63" s="134" t="s">
        <v>365</v>
      </c>
      <c r="J63" s="242">
        <v>6.5</v>
      </c>
      <c r="K63" s="244">
        <f>VLOOKUP($H63,'ÇELİK HASIR-KESİT TABLOSU'!$B$8:$AA$30,HLOOKUP($F63,'ÇELİK HASIR-KESİT TABLOSU'!$B$5:$AA$8,3,FALSE)+3)*(IF(I63="d",2,1))</f>
        <v>5.14</v>
      </c>
      <c r="L63" s="245">
        <f>VLOOKUP($J63,'ÇELİK HASIR-KESİT TABLOSU'!$B$8:$AA$30,HLOOKUP($G63,'ÇELİK HASIR-KESİT TABLOSU'!$B$5:$AA$8,3,FALSE)+3)</f>
        <v>2.21</v>
      </c>
      <c r="M63" s="235">
        <f t="shared" si="0"/>
        <v>4.81</v>
      </c>
      <c r="N63" s="236">
        <f>ROUND((C63*P63*(VLOOKUP(H63,'ÇELİK HASIR-KESİT TABLOSU'!$B$8:$AA$30,2)))+(E63*O63*(VLOOKUP(J63,'ÇELİK HASIR-KESİT TABLOSU'!$B$8:$AA$30,2))),2)</f>
        <v>51.71</v>
      </c>
      <c r="O63" s="225">
        <f t="shared" si="1"/>
        <v>33</v>
      </c>
      <c r="P63" s="237">
        <f t="shared" si="2"/>
        <v>22</v>
      </c>
      <c r="Q63" s="238"/>
      <c r="R63" s="225">
        <f t="shared" si="4"/>
        <v>59</v>
      </c>
      <c r="S63" s="239" t="str">
        <f t="shared" si="3"/>
        <v>Q513/221</v>
      </c>
    </row>
    <row r="64" spans="2:19" ht="9.75">
      <c r="B64" s="243" t="s">
        <v>384</v>
      </c>
      <c r="C64" s="136">
        <v>5</v>
      </c>
      <c r="D64" s="133"/>
      <c r="E64" s="136">
        <v>2.15</v>
      </c>
      <c r="F64" s="240">
        <v>150</v>
      </c>
      <c r="G64" s="237">
        <v>150</v>
      </c>
      <c r="H64" s="241">
        <v>7</v>
      </c>
      <c r="I64" s="134" t="s">
        <v>365</v>
      </c>
      <c r="J64" s="242">
        <v>7</v>
      </c>
      <c r="K64" s="244">
        <f>VLOOKUP($H64,'ÇELİK HASIR-KESİT TABLOSU'!$B$8:$AA$30,HLOOKUP($F64,'ÇELİK HASIR-KESİT TABLOSU'!$B$5:$AA$8,3,FALSE)+3)*(IF(I64="d",2,1))</f>
        <v>5.14</v>
      </c>
      <c r="L64" s="245">
        <f>VLOOKUP($J64,'ÇELİK HASIR-KESİT TABLOSU'!$B$8:$AA$30,HLOOKUP($G64,'ÇELİK HASIR-KESİT TABLOSU'!$B$5:$AA$8,3,FALSE)+3)</f>
        <v>2.57</v>
      </c>
      <c r="M64" s="235">
        <f t="shared" si="0"/>
        <v>5.09</v>
      </c>
      <c r="N64" s="236">
        <f>ROUND((C64*P64*(VLOOKUP(H64,'ÇELİK HASIR-KESİT TABLOSU'!$B$8:$AA$30,2)))+(E64*O64*(VLOOKUP(J64,'ÇELİK HASIR-KESİT TABLOSU'!$B$8:$AA$30,2))),2)</f>
        <v>54.67</v>
      </c>
      <c r="O64" s="225">
        <f t="shared" si="1"/>
        <v>33</v>
      </c>
      <c r="P64" s="237">
        <f t="shared" si="2"/>
        <v>22</v>
      </c>
      <c r="Q64" s="238"/>
      <c r="R64" s="225">
        <f t="shared" si="4"/>
        <v>60</v>
      </c>
      <c r="S64" s="239" t="str">
        <f t="shared" si="3"/>
        <v>Q513/257</v>
      </c>
    </row>
    <row r="65" spans="2:19" ht="9.75">
      <c r="B65" s="243" t="s">
        <v>385</v>
      </c>
      <c r="C65" s="136">
        <v>5</v>
      </c>
      <c r="D65" s="133"/>
      <c r="E65" s="136">
        <v>2.15</v>
      </c>
      <c r="F65" s="240">
        <v>150</v>
      </c>
      <c r="G65" s="237">
        <v>150</v>
      </c>
      <c r="H65" s="241">
        <v>7</v>
      </c>
      <c r="I65" s="134" t="s">
        <v>365</v>
      </c>
      <c r="J65" s="242">
        <v>7.5</v>
      </c>
      <c r="K65" s="244">
        <f>VLOOKUP($H65,'ÇELİK HASIR-KESİT TABLOSU'!$B$8:$AA$30,HLOOKUP($F65,'ÇELİK HASIR-KESİT TABLOSU'!$B$5:$AA$8,3,FALSE)+3)*(IF(I65="d",2,1))</f>
        <v>5.14</v>
      </c>
      <c r="L65" s="245">
        <f>VLOOKUP($J65,'ÇELİK HASIR-KESİT TABLOSU'!$B$8:$AA$30,HLOOKUP($G65,'ÇELİK HASIR-KESİT TABLOSU'!$B$5:$AA$8,3,FALSE)+3)</f>
        <v>2.95</v>
      </c>
      <c r="M65" s="235">
        <f t="shared" si="0"/>
        <v>5.38</v>
      </c>
      <c r="N65" s="236">
        <f>ROUND((C65*P65*(VLOOKUP(H65,'ÇELİK HASIR-KESİT TABLOSU'!$B$8:$AA$30,2)))+(E65*O65*(VLOOKUP(J65,'ÇELİK HASIR-KESİT TABLOSU'!$B$8:$AA$30,2))),2)</f>
        <v>57.84</v>
      </c>
      <c r="O65" s="225">
        <f t="shared" si="1"/>
        <v>33</v>
      </c>
      <c r="P65" s="237">
        <f t="shared" si="2"/>
        <v>22</v>
      </c>
      <c r="Q65" s="238"/>
      <c r="R65" s="225">
        <f t="shared" si="4"/>
        <v>61</v>
      </c>
      <c r="S65" s="239" t="str">
        <f t="shared" si="3"/>
        <v>Q513/295</v>
      </c>
    </row>
    <row r="66" spans="2:19" ht="9.75">
      <c r="B66" s="243" t="s">
        <v>386</v>
      </c>
      <c r="C66" s="136">
        <v>5</v>
      </c>
      <c r="D66" s="133"/>
      <c r="E66" s="136">
        <v>2.15</v>
      </c>
      <c r="F66" s="240">
        <v>150</v>
      </c>
      <c r="G66" s="237">
        <v>150</v>
      </c>
      <c r="H66" s="241">
        <v>7.5</v>
      </c>
      <c r="I66" s="134" t="s">
        <v>365</v>
      </c>
      <c r="J66" s="242">
        <v>6.5</v>
      </c>
      <c r="K66" s="244">
        <f>VLOOKUP($H66,'ÇELİK HASIR-KESİT TABLOSU'!$B$8:$AA$30,HLOOKUP($F66,'ÇELİK HASIR-KESİT TABLOSU'!$B$5:$AA$8,3,FALSE)+3)*(IF(I66="d",2,1))</f>
        <v>5.9</v>
      </c>
      <c r="L66" s="245">
        <f>VLOOKUP($J66,'ÇELİK HASIR-KESİT TABLOSU'!$B$8:$AA$30,HLOOKUP($G66,'ÇELİK HASIR-KESİT TABLOSU'!$B$5:$AA$8,3,FALSE)+3)</f>
        <v>2.21</v>
      </c>
      <c r="M66" s="235">
        <f t="shared" si="0"/>
        <v>5.27</v>
      </c>
      <c r="N66" s="236">
        <f>ROUND((C66*P66*(VLOOKUP(H66,'ÇELİK HASIR-KESİT TABLOSU'!$B$8:$AA$30,2)))+(E66*O66*(VLOOKUP(J66,'ÇELİK HASIR-KESİT TABLOSU'!$B$8:$AA$30,2))),2)</f>
        <v>56.63</v>
      </c>
      <c r="O66" s="225">
        <f t="shared" si="1"/>
        <v>33</v>
      </c>
      <c r="P66" s="237">
        <f t="shared" si="2"/>
        <v>22</v>
      </c>
      <c r="Q66" s="238"/>
      <c r="R66" s="225">
        <f t="shared" si="4"/>
        <v>62</v>
      </c>
      <c r="S66" s="239" t="str">
        <f t="shared" si="3"/>
        <v>Q589/221</v>
      </c>
    </row>
    <row r="67" spans="2:19" ht="9.75">
      <c r="B67" s="243" t="s">
        <v>387</v>
      </c>
      <c r="C67" s="136">
        <v>5</v>
      </c>
      <c r="D67" s="133"/>
      <c r="E67" s="136">
        <v>2.15</v>
      </c>
      <c r="F67" s="240">
        <v>150</v>
      </c>
      <c r="G67" s="237">
        <v>150</v>
      </c>
      <c r="H67" s="241">
        <v>7.5</v>
      </c>
      <c r="I67" s="134" t="s">
        <v>365</v>
      </c>
      <c r="J67" s="242">
        <v>7</v>
      </c>
      <c r="K67" s="244">
        <f>VLOOKUP($H67,'ÇELİK HASIR-KESİT TABLOSU'!$B$8:$AA$30,HLOOKUP($F67,'ÇELİK HASIR-KESİT TABLOSU'!$B$5:$AA$8,3,FALSE)+3)*(IF(I67="d",2,1))</f>
        <v>5.9</v>
      </c>
      <c r="L67" s="245">
        <f>VLOOKUP($J67,'ÇELİK HASIR-KESİT TABLOSU'!$B$8:$AA$30,HLOOKUP($G67,'ÇELİK HASIR-KESİT TABLOSU'!$B$5:$AA$8,3,FALSE)+3)</f>
        <v>2.57</v>
      </c>
      <c r="M67" s="235">
        <f t="shared" si="0"/>
        <v>5.54</v>
      </c>
      <c r="N67" s="236">
        <f>ROUND((C67*P67*(VLOOKUP(H67,'ÇELİK HASIR-KESİT TABLOSU'!$B$8:$AA$30,2)))+(E67*O67*(VLOOKUP(J67,'ÇELİK HASIR-KESİT TABLOSU'!$B$8:$AA$30,2))),2)</f>
        <v>59.58</v>
      </c>
      <c r="O67" s="225">
        <f t="shared" si="1"/>
        <v>33</v>
      </c>
      <c r="P67" s="237">
        <f t="shared" si="2"/>
        <v>22</v>
      </c>
      <c r="Q67" s="238"/>
      <c r="R67" s="225">
        <f t="shared" si="4"/>
        <v>63</v>
      </c>
      <c r="S67" s="239" t="str">
        <f t="shared" si="3"/>
        <v>Q589/257</v>
      </c>
    </row>
    <row r="68" spans="2:19" ht="9.75">
      <c r="B68" s="243" t="s">
        <v>388</v>
      </c>
      <c r="C68" s="136">
        <v>5</v>
      </c>
      <c r="D68" s="133"/>
      <c r="E68" s="136">
        <v>2.15</v>
      </c>
      <c r="F68" s="240">
        <v>150</v>
      </c>
      <c r="G68" s="237">
        <v>150</v>
      </c>
      <c r="H68" s="241">
        <v>7.5</v>
      </c>
      <c r="I68" s="134" t="s">
        <v>365</v>
      </c>
      <c r="J68" s="242">
        <v>7.5</v>
      </c>
      <c r="K68" s="244">
        <f>VLOOKUP($H68,'ÇELİK HASIR-KESİT TABLOSU'!$B$8:$AA$30,HLOOKUP($F68,'ÇELİK HASIR-KESİT TABLOSU'!$B$5:$AA$8,3,FALSE)+3)*(IF(I68="d",2,1))</f>
        <v>5.9</v>
      </c>
      <c r="L68" s="245">
        <f>VLOOKUP($J68,'ÇELİK HASIR-KESİT TABLOSU'!$B$8:$AA$30,HLOOKUP($G68,'ÇELİK HASIR-KESİT TABLOSU'!$B$5:$AA$8,3,FALSE)+3)</f>
        <v>2.95</v>
      </c>
      <c r="M68" s="235">
        <f t="shared" si="0"/>
        <v>5.84</v>
      </c>
      <c r="N68" s="236">
        <f>ROUND((C68*P68*(VLOOKUP(H68,'ÇELİK HASIR-KESİT TABLOSU'!$B$8:$AA$30,2)))+(E68*O68*(VLOOKUP(J68,'ÇELİK HASIR-KESİT TABLOSU'!$B$8:$AA$30,2))),2)</f>
        <v>62.75</v>
      </c>
      <c r="O68" s="225">
        <f t="shared" si="1"/>
        <v>33</v>
      </c>
      <c r="P68" s="237">
        <f t="shared" si="2"/>
        <v>22</v>
      </c>
      <c r="Q68" s="238"/>
      <c r="R68" s="225">
        <f t="shared" si="4"/>
        <v>64</v>
      </c>
      <c r="S68" s="239" t="str">
        <f t="shared" si="3"/>
        <v>Q589/295</v>
      </c>
    </row>
    <row r="69" spans="2:19" ht="9.75">
      <c r="B69" s="243" t="s">
        <v>389</v>
      </c>
      <c r="C69" s="136">
        <v>5</v>
      </c>
      <c r="D69" s="133"/>
      <c r="E69" s="136">
        <v>2.15</v>
      </c>
      <c r="F69" s="240">
        <v>150</v>
      </c>
      <c r="G69" s="237">
        <v>250</v>
      </c>
      <c r="H69" s="241">
        <v>4.5</v>
      </c>
      <c r="I69" s="135"/>
      <c r="J69" s="242">
        <v>4.5</v>
      </c>
      <c r="K69" s="244">
        <f>VLOOKUP($H69,'ÇELİK HASIR-KESİT TABLOSU'!$B$8:$AA$30,HLOOKUP($F69,'ÇELİK HASIR-KESİT TABLOSU'!$B$5:$AA$8,3,FALSE)+3)*(IF(I69="d",2,1))</f>
        <v>1.06</v>
      </c>
      <c r="L69" s="245">
        <f>VLOOKUP($J69,'ÇELİK HASIR-KESİT TABLOSU'!$B$8:$AA$30,HLOOKUP($G69,'ÇELİK HASIR-KESİT TABLOSU'!$B$5:$AA$8,3,FALSE)+3)</f>
        <v>0.64</v>
      </c>
      <c r="M69" s="235">
        <f aca="true" t="shared" si="5" ref="M69:M81">ROUND(N69/(5*E69),2)</f>
        <v>1.37</v>
      </c>
      <c r="N69" s="236">
        <f>ROUND((C69*P69*(VLOOKUP(H69,'ÇELİK HASIR-KESİT TABLOSU'!$B$8:$AA$30,2)))+(E69*O69*(VLOOKUP(J69,'ÇELİK HASIR-KESİT TABLOSU'!$B$8:$AA$30,2))),2)</f>
        <v>14.73</v>
      </c>
      <c r="O69" s="240">
        <f aca="true" t="shared" si="6" ref="O69:O81">ROUND((((C69-(IF(MID(B69,1,1)="Q",0.2,0.25))-(IF(D69&lt;&gt;0,(IF(MID(B69,1,1)="Q",(D69-0.1),(D69-0.125))),0)))/(G69/1000)+1)),0)</f>
        <v>20</v>
      </c>
      <c r="P69" s="237">
        <f aca="true" t="shared" si="7" ref="P69:P81">ROUND((((E69-(0.05))/(F69/1000)+1)+(IF(I69="d",(IF(MID(B69,1,1)="Q",((E69-0.05-((F69/1000)*8))/(F69/1000))+1,((E69-0.05-((F69/1000)*4))/(F69/1000))+1)),0))),0)</f>
        <v>15</v>
      </c>
      <c r="Q69" s="238"/>
      <c r="R69" s="225">
        <f t="shared" si="4"/>
        <v>65</v>
      </c>
      <c r="S69" s="239" t="str">
        <f t="shared" si="3"/>
        <v>R106</v>
      </c>
    </row>
    <row r="70" spans="2:19" ht="9.75">
      <c r="B70" s="243" t="s">
        <v>390</v>
      </c>
      <c r="C70" s="136">
        <v>5</v>
      </c>
      <c r="D70" s="133"/>
      <c r="E70" s="136">
        <v>2.15</v>
      </c>
      <c r="F70" s="240">
        <v>150</v>
      </c>
      <c r="G70" s="237">
        <v>250</v>
      </c>
      <c r="H70" s="241">
        <v>5</v>
      </c>
      <c r="I70" s="135"/>
      <c r="J70" s="242">
        <v>5</v>
      </c>
      <c r="K70" s="244">
        <f>VLOOKUP($H70,'ÇELİK HASIR-KESİT TABLOSU'!$B$8:$AA$30,HLOOKUP($F70,'ÇELİK HASIR-KESİT TABLOSU'!$B$5:$AA$8,3,FALSE)+3)*(IF(I70="d",2,1))</f>
        <v>1.31</v>
      </c>
      <c r="L70" s="245">
        <f>VLOOKUP($J70,'ÇELİK HASIR-KESİT TABLOSU'!$B$8:$AA$30,HLOOKUP($G70,'ÇELİK HASIR-KESİT TABLOSU'!$B$5:$AA$8,3,FALSE)+3)</f>
        <v>0.79</v>
      </c>
      <c r="M70" s="235">
        <f t="shared" si="5"/>
        <v>1.69</v>
      </c>
      <c r="N70" s="236">
        <f>ROUND((C70*P70*(VLOOKUP(H70,'ÇELİK HASIR-KESİT TABLOSU'!$B$8:$AA$30,2)))+(E70*O70*(VLOOKUP(J70,'ÇELİK HASIR-KESİT TABLOSU'!$B$8:$AA$30,2))),2)</f>
        <v>18.19</v>
      </c>
      <c r="O70" s="240">
        <f t="shared" si="6"/>
        <v>20</v>
      </c>
      <c r="P70" s="237">
        <f t="shared" si="7"/>
        <v>15</v>
      </c>
      <c r="Q70" s="238"/>
      <c r="R70" s="225">
        <f t="shared" si="4"/>
        <v>66</v>
      </c>
      <c r="S70" s="239" t="str">
        <f aca="true" t="shared" si="8" ref="S70:S81">B70</f>
        <v>R131</v>
      </c>
    </row>
    <row r="71" spans="2:19" ht="9.75">
      <c r="B71" s="243" t="s">
        <v>391</v>
      </c>
      <c r="C71" s="136">
        <v>5</v>
      </c>
      <c r="D71" s="133"/>
      <c r="E71" s="136">
        <v>2.15</v>
      </c>
      <c r="F71" s="240">
        <v>150</v>
      </c>
      <c r="G71" s="237">
        <v>250</v>
      </c>
      <c r="H71" s="241">
        <v>5.5</v>
      </c>
      <c r="I71" s="135"/>
      <c r="J71" s="242">
        <v>5</v>
      </c>
      <c r="K71" s="244">
        <f>VLOOKUP($H71,'ÇELİK HASIR-KESİT TABLOSU'!$B$8:$AA$30,HLOOKUP($F71,'ÇELİK HASIR-KESİT TABLOSU'!$B$5:$AA$8,3,FALSE)+3)*(IF(I71="d",2,1))</f>
        <v>1.58</v>
      </c>
      <c r="L71" s="245">
        <f>VLOOKUP($J71,'ÇELİK HASIR-KESİT TABLOSU'!$B$8:$AA$30,HLOOKUP($G71,'ÇELİK HASIR-KESİT TABLOSU'!$B$5:$AA$8,3,FALSE)+3)</f>
        <v>0.79</v>
      </c>
      <c r="M71" s="235">
        <f t="shared" si="5"/>
        <v>1.92</v>
      </c>
      <c r="N71" s="236">
        <f>ROUND((C71*P71*(VLOOKUP(H71,'ÇELİK HASIR-KESİT TABLOSU'!$B$8:$AA$30,2)))+(E71*O71*(VLOOKUP(J71,'ÇELİK HASIR-KESİT TABLOSU'!$B$8:$AA$30,2))),2)</f>
        <v>20.62</v>
      </c>
      <c r="O71" s="240">
        <f t="shared" si="6"/>
        <v>20</v>
      </c>
      <c r="P71" s="237">
        <f t="shared" si="7"/>
        <v>15</v>
      </c>
      <c r="Q71" s="238"/>
      <c r="R71" s="225">
        <f aca="true" t="shared" si="9" ref="R71:R81">R70+1</f>
        <v>67</v>
      </c>
      <c r="S71" s="239" t="str">
        <f t="shared" si="8"/>
        <v>R158</v>
      </c>
    </row>
    <row r="72" spans="2:19" ht="9.75">
      <c r="B72" s="243" t="s">
        <v>392</v>
      </c>
      <c r="C72" s="136">
        <v>5</v>
      </c>
      <c r="D72" s="133"/>
      <c r="E72" s="136">
        <v>2.15</v>
      </c>
      <c r="F72" s="240">
        <v>150</v>
      </c>
      <c r="G72" s="237">
        <v>250</v>
      </c>
      <c r="H72" s="241">
        <v>6</v>
      </c>
      <c r="I72" s="135"/>
      <c r="J72" s="242">
        <v>5</v>
      </c>
      <c r="K72" s="244">
        <f>VLOOKUP($H72,'ÇELİK HASIR-KESİT TABLOSU'!$B$8:$AA$30,HLOOKUP($F72,'ÇELİK HASIR-KESİT TABLOSU'!$B$5:$AA$8,3,FALSE)+3)*(IF(I72="d",2,1))</f>
        <v>1.88</v>
      </c>
      <c r="L72" s="245">
        <f>VLOOKUP($J72,'ÇELİK HASIR-KESİT TABLOSU'!$B$8:$AA$30,HLOOKUP($G72,'ÇELİK HASIR-KESİT TABLOSU'!$B$5:$AA$8,3,FALSE)+3)</f>
        <v>0.79</v>
      </c>
      <c r="M72" s="235">
        <f t="shared" si="5"/>
        <v>2.16</v>
      </c>
      <c r="N72" s="236">
        <f>ROUND((C72*P72*(VLOOKUP(H72,'ÇELİK HASIR-KESİT TABLOSU'!$B$8:$AA$30,2)))+(E72*O72*(VLOOKUP(J72,'ÇELİK HASIR-KESİT TABLOSU'!$B$8:$AA$30,2))),2)</f>
        <v>23.27</v>
      </c>
      <c r="O72" s="240">
        <f t="shared" si="6"/>
        <v>20</v>
      </c>
      <c r="P72" s="237">
        <f t="shared" si="7"/>
        <v>15</v>
      </c>
      <c r="Q72" s="238"/>
      <c r="R72" s="225">
        <f t="shared" si="9"/>
        <v>68</v>
      </c>
      <c r="S72" s="239" t="str">
        <f t="shared" si="8"/>
        <v>R188</v>
      </c>
    </row>
    <row r="73" spans="2:19" ht="9.75">
      <c r="B73" s="243" t="s">
        <v>393</v>
      </c>
      <c r="C73" s="136">
        <v>5</v>
      </c>
      <c r="D73" s="133"/>
      <c r="E73" s="136">
        <v>2.15</v>
      </c>
      <c r="F73" s="240">
        <v>150</v>
      </c>
      <c r="G73" s="237">
        <v>250</v>
      </c>
      <c r="H73" s="241">
        <v>6.5</v>
      </c>
      <c r="I73" s="135"/>
      <c r="J73" s="242">
        <v>5</v>
      </c>
      <c r="K73" s="244">
        <f>VLOOKUP($H73,'ÇELİK HASIR-KESİT TABLOSU'!$B$8:$AA$30,HLOOKUP($F73,'ÇELİK HASIR-KESİT TABLOSU'!$B$5:$AA$8,3,FALSE)+3)*(IF(I73="d",2,1))</f>
        <v>2.21</v>
      </c>
      <c r="L73" s="245">
        <f>VLOOKUP($J73,'ÇELİK HASIR-KESİT TABLOSU'!$B$8:$AA$30,HLOOKUP($G73,'ÇELİK HASIR-KESİT TABLOSU'!$B$5:$AA$8,3,FALSE)+3)</f>
        <v>0.79</v>
      </c>
      <c r="M73" s="235">
        <f t="shared" si="5"/>
        <v>2.43</v>
      </c>
      <c r="N73" s="236">
        <f>ROUND((C73*P73*(VLOOKUP(H73,'ÇELİK HASIR-KESİT TABLOSU'!$B$8:$AA$30,2)))+(E73*O73*(VLOOKUP(J73,'ÇELİK HASIR-KESİT TABLOSU'!$B$8:$AA$30,2))),2)</f>
        <v>26.16</v>
      </c>
      <c r="O73" s="240">
        <f t="shared" si="6"/>
        <v>20</v>
      </c>
      <c r="P73" s="237">
        <f t="shared" si="7"/>
        <v>15</v>
      </c>
      <c r="Q73" s="238"/>
      <c r="R73" s="225">
        <f t="shared" si="9"/>
        <v>69</v>
      </c>
      <c r="S73" s="239" t="str">
        <f t="shared" si="8"/>
        <v>R221</v>
      </c>
    </row>
    <row r="74" spans="2:19" ht="9.75">
      <c r="B74" s="243" t="s">
        <v>394</v>
      </c>
      <c r="C74" s="136">
        <v>5</v>
      </c>
      <c r="D74" s="133"/>
      <c r="E74" s="136">
        <v>2.15</v>
      </c>
      <c r="F74" s="240">
        <v>150</v>
      </c>
      <c r="G74" s="237">
        <v>250</v>
      </c>
      <c r="H74" s="241">
        <v>7</v>
      </c>
      <c r="I74" s="135"/>
      <c r="J74" s="242">
        <v>5</v>
      </c>
      <c r="K74" s="244">
        <f>VLOOKUP($H74,'ÇELİK HASIR-KESİT TABLOSU'!$B$8:$AA$30,HLOOKUP($F74,'ÇELİK HASIR-KESİT TABLOSU'!$B$5:$AA$8,3,FALSE)+3)*(IF(I74="d",2,1))</f>
        <v>2.57</v>
      </c>
      <c r="L74" s="245">
        <f>VLOOKUP($J74,'ÇELİK HASIR-KESİT TABLOSU'!$B$8:$AA$30,HLOOKUP($G74,'ÇELİK HASIR-KESİT TABLOSU'!$B$5:$AA$8,3,FALSE)+3)</f>
        <v>0.79</v>
      </c>
      <c r="M74" s="235">
        <f t="shared" si="5"/>
        <v>2.72</v>
      </c>
      <c r="N74" s="236">
        <f>ROUND((C74*P74*(VLOOKUP(H74,'ÇELİK HASIR-KESİT TABLOSU'!$B$8:$AA$30,2)))+(E74*O74*(VLOOKUP(J74,'ÇELİK HASIR-KESİT TABLOSU'!$B$8:$AA$30,2))),2)</f>
        <v>29.29</v>
      </c>
      <c r="O74" s="240">
        <f t="shared" si="6"/>
        <v>20</v>
      </c>
      <c r="P74" s="237">
        <f t="shared" si="7"/>
        <v>15</v>
      </c>
      <c r="Q74" s="238"/>
      <c r="R74" s="225">
        <f t="shared" si="9"/>
        <v>70</v>
      </c>
      <c r="S74" s="239" t="str">
        <f t="shared" si="8"/>
        <v>R257</v>
      </c>
    </row>
    <row r="75" spans="2:19" ht="9.75">
      <c r="B75" s="243" t="s">
        <v>395</v>
      </c>
      <c r="C75" s="136">
        <v>5</v>
      </c>
      <c r="D75" s="133"/>
      <c r="E75" s="136">
        <v>2.15</v>
      </c>
      <c r="F75" s="240">
        <v>150</v>
      </c>
      <c r="G75" s="237">
        <v>250</v>
      </c>
      <c r="H75" s="241">
        <v>7.5</v>
      </c>
      <c r="I75" s="135"/>
      <c r="J75" s="242">
        <v>5</v>
      </c>
      <c r="K75" s="244">
        <f>VLOOKUP($H75,'ÇELİK HASIR-KESİT TABLOSU'!$B$8:$AA$30,HLOOKUP($F75,'ÇELİK HASIR-KESİT TABLOSU'!$B$5:$AA$8,3,FALSE)+3)*(IF(I75="d",2,1))</f>
        <v>2.95</v>
      </c>
      <c r="L75" s="245">
        <f>VLOOKUP($J75,'ÇELİK HASIR-KESİT TABLOSU'!$B$8:$AA$30,HLOOKUP($G75,'ÇELİK HASIR-KESİT TABLOSU'!$B$5:$AA$8,3,FALSE)+3)</f>
        <v>0.79</v>
      </c>
      <c r="M75" s="235">
        <f t="shared" si="5"/>
        <v>3.04</v>
      </c>
      <c r="N75" s="236">
        <f>ROUND((C75*P75*(VLOOKUP(H75,'ÇELİK HASIR-KESİT TABLOSU'!$B$8:$AA$30,2)))+(E75*O75*(VLOOKUP(J75,'ÇELİK HASIR-KESİT TABLOSU'!$B$8:$AA$30,2))),2)</f>
        <v>32.64</v>
      </c>
      <c r="O75" s="240">
        <f t="shared" si="6"/>
        <v>20</v>
      </c>
      <c r="P75" s="237">
        <f t="shared" si="7"/>
        <v>15</v>
      </c>
      <c r="Q75" s="238"/>
      <c r="R75" s="225">
        <f t="shared" si="9"/>
        <v>71</v>
      </c>
      <c r="S75" s="239" t="str">
        <f t="shared" si="8"/>
        <v>R295</v>
      </c>
    </row>
    <row r="76" spans="2:19" ht="9.75">
      <c r="B76" s="243" t="s">
        <v>396</v>
      </c>
      <c r="C76" s="136">
        <v>5</v>
      </c>
      <c r="D76" s="133"/>
      <c r="E76" s="136">
        <v>2.15</v>
      </c>
      <c r="F76" s="240">
        <v>150</v>
      </c>
      <c r="G76" s="237">
        <v>250</v>
      </c>
      <c r="H76" s="241">
        <v>5.5</v>
      </c>
      <c r="I76" s="135" t="s">
        <v>365</v>
      </c>
      <c r="J76" s="242">
        <v>5</v>
      </c>
      <c r="K76" s="244">
        <f>VLOOKUP($H76,'ÇELİK HASIR-KESİT TABLOSU'!$B$8:$AA$30,HLOOKUP($F76,'ÇELİK HASIR-KESİT TABLOSU'!$B$5:$AA$8,3,FALSE)+3)*(IF(I76="d",2,1))</f>
        <v>3.16</v>
      </c>
      <c r="L76" s="245">
        <f>VLOOKUP($J76,'ÇELİK HASIR-KESİT TABLOSU'!$B$8:$AA$30,HLOOKUP($G76,'ÇELİK HASIR-KESİT TABLOSU'!$B$5:$AA$8,3,FALSE)+3)</f>
        <v>0.79</v>
      </c>
      <c r="M76" s="235">
        <f t="shared" si="5"/>
        <v>2.87</v>
      </c>
      <c r="N76" s="236">
        <f>ROUND((C76*P76*(VLOOKUP(H76,'ÇELİK HASIR-KESİT TABLOSU'!$B$8:$AA$30,2)))+(E76*O76*(VLOOKUP(J76,'ÇELİK HASIR-KESİT TABLOSU'!$B$8:$AA$30,2))),2)</f>
        <v>30.87</v>
      </c>
      <c r="O76" s="240">
        <f t="shared" si="6"/>
        <v>20</v>
      </c>
      <c r="P76" s="237">
        <f t="shared" si="7"/>
        <v>26</v>
      </c>
      <c r="Q76" s="238"/>
      <c r="R76" s="225">
        <f t="shared" si="9"/>
        <v>72</v>
      </c>
      <c r="S76" s="239" t="str">
        <f t="shared" si="8"/>
        <v>R317</v>
      </c>
    </row>
    <row r="77" spans="2:19" ht="9.75">
      <c r="B77" s="243" t="s">
        <v>397</v>
      </c>
      <c r="C77" s="136">
        <v>5</v>
      </c>
      <c r="D77" s="133"/>
      <c r="E77" s="136">
        <v>2.15</v>
      </c>
      <c r="F77" s="240">
        <v>150</v>
      </c>
      <c r="G77" s="237">
        <v>250</v>
      </c>
      <c r="H77" s="241">
        <v>8</v>
      </c>
      <c r="I77" s="135"/>
      <c r="J77" s="242">
        <v>5</v>
      </c>
      <c r="K77" s="244">
        <f>VLOOKUP($H77,'ÇELİK HASIR-KESİT TABLOSU'!$B$8:$AA$30,HLOOKUP($F77,'ÇELİK HASIR-KESİT TABLOSU'!$B$5:$AA$8,3,FALSE)+3)*(IF(I77="d",2,1))</f>
        <v>3.35</v>
      </c>
      <c r="L77" s="245">
        <f>VLOOKUP($J77,'ÇELİK HASIR-KESİT TABLOSU'!$B$8:$AA$30,HLOOKUP($G77,'ÇELİK HASIR-KESİT TABLOSU'!$B$5:$AA$8,3,FALSE)+3)</f>
        <v>0.79</v>
      </c>
      <c r="M77" s="235">
        <f t="shared" si="5"/>
        <v>3.37</v>
      </c>
      <c r="N77" s="236">
        <f>ROUND((C77*P77*(VLOOKUP(H77,'ÇELİK HASIR-KESİT TABLOSU'!$B$8:$AA$30,2)))+(E77*O77*(VLOOKUP(J77,'ÇELİK HASIR-KESİT TABLOSU'!$B$8:$AA$30,2))),2)</f>
        <v>36.22</v>
      </c>
      <c r="O77" s="240">
        <f t="shared" si="6"/>
        <v>20</v>
      </c>
      <c r="P77" s="237">
        <f t="shared" si="7"/>
        <v>15</v>
      </c>
      <c r="Q77" s="238"/>
      <c r="R77" s="225">
        <f t="shared" si="9"/>
        <v>73</v>
      </c>
      <c r="S77" s="239" t="str">
        <f t="shared" si="8"/>
        <v>R335</v>
      </c>
    </row>
    <row r="78" spans="2:19" ht="9.75">
      <c r="B78" s="243" t="s">
        <v>398</v>
      </c>
      <c r="C78" s="136">
        <v>5</v>
      </c>
      <c r="D78" s="133"/>
      <c r="E78" s="136">
        <v>2.15</v>
      </c>
      <c r="F78" s="240">
        <v>150</v>
      </c>
      <c r="G78" s="237">
        <v>250</v>
      </c>
      <c r="H78" s="241">
        <v>6</v>
      </c>
      <c r="I78" s="135" t="s">
        <v>365</v>
      </c>
      <c r="J78" s="242">
        <v>5</v>
      </c>
      <c r="K78" s="244">
        <f>VLOOKUP($H78,'ÇELİK HASIR-KESİT TABLOSU'!$B$8:$AA$30,HLOOKUP($F78,'ÇELİK HASIR-KESİT TABLOSU'!$B$5:$AA$8,3,FALSE)+3)*(IF(I78="d",2,1))</f>
        <v>3.76</v>
      </c>
      <c r="L78" s="245">
        <f>VLOOKUP($J78,'ÇELİK HASIR-KESİT TABLOSU'!$B$8:$AA$30,HLOOKUP($G78,'ÇELİK HASIR-KESİT TABLOSU'!$B$5:$AA$8,3,FALSE)+3)</f>
        <v>0.79</v>
      </c>
      <c r="M78" s="235">
        <f t="shared" si="5"/>
        <v>3.3</v>
      </c>
      <c r="N78" s="236">
        <f>ROUND((C78*P78*(VLOOKUP(H78,'ÇELİK HASIR-KESİT TABLOSU'!$B$8:$AA$30,2)))+(E78*O78*(VLOOKUP(J78,'ÇELİK HASIR-KESİT TABLOSU'!$B$8:$AA$30,2))),2)</f>
        <v>35.48</v>
      </c>
      <c r="O78" s="225">
        <f t="shared" si="6"/>
        <v>20</v>
      </c>
      <c r="P78" s="237">
        <f t="shared" si="7"/>
        <v>26</v>
      </c>
      <c r="Q78" s="238"/>
      <c r="R78" s="225">
        <f t="shared" si="9"/>
        <v>74</v>
      </c>
      <c r="S78" s="239" t="str">
        <f t="shared" si="8"/>
        <v>R377</v>
      </c>
    </row>
    <row r="79" spans="2:19" ht="9.75">
      <c r="B79" s="243" t="s">
        <v>399</v>
      </c>
      <c r="C79" s="136">
        <v>5</v>
      </c>
      <c r="D79" s="133"/>
      <c r="E79" s="136">
        <v>2.15</v>
      </c>
      <c r="F79" s="240">
        <v>150</v>
      </c>
      <c r="G79" s="237">
        <v>250</v>
      </c>
      <c r="H79" s="241">
        <v>6.5</v>
      </c>
      <c r="I79" s="135" t="s">
        <v>365</v>
      </c>
      <c r="J79" s="242">
        <v>5.5</v>
      </c>
      <c r="K79" s="244">
        <f>VLOOKUP($H79,'ÇELİK HASIR-KESİT TABLOSU'!$B$8:$AA$30,HLOOKUP($F79,'ÇELİK HASIR-KESİT TABLOSU'!$B$5:$AA$8,3,FALSE)+3)*(IF(I79="d",2,1))</f>
        <v>4.42</v>
      </c>
      <c r="L79" s="245">
        <f>VLOOKUP($J79,'ÇELİK HASIR-KESİT TABLOSU'!$B$8:$AA$30,HLOOKUP($G79,'ÇELİK HASIR-KESİT TABLOSU'!$B$5:$AA$8,3,FALSE)+3)</f>
        <v>0.95</v>
      </c>
      <c r="M79" s="235">
        <f t="shared" si="5"/>
        <v>3.9</v>
      </c>
      <c r="N79" s="236">
        <f>ROUND((C79*P79*(VLOOKUP(H79,'ÇELİK HASIR-KESİT TABLOSU'!$B$8:$AA$30,2)))+(E79*O79*(VLOOKUP(J79,'ÇELİK HASIR-KESİT TABLOSU'!$B$8:$AA$30,2))),2)</f>
        <v>41.88</v>
      </c>
      <c r="O79" s="225">
        <f t="shared" si="6"/>
        <v>20</v>
      </c>
      <c r="P79" s="237">
        <f t="shared" si="7"/>
        <v>26</v>
      </c>
      <c r="Q79" s="238"/>
      <c r="R79" s="225">
        <f t="shared" si="9"/>
        <v>75</v>
      </c>
      <c r="S79" s="239" t="str">
        <f t="shared" si="8"/>
        <v>R443</v>
      </c>
    </row>
    <row r="80" spans="2:19" ht="9.75">
      <c r="B80" s="243" t="s">
        <v>400</v>
      </c>
      <c r="C80" s="136">
        <v>5</v>
      </c>
      <c r="D80" s="133"/>
      <c r="E80" s="136">
        <v>2.15</v>
      </c>
      <c r="F80" s="240">
        <v>150</v>
      </c>
      <c r="G80" s="237">
        <v>250</v>
      </c>
      <c r="H80" s="241">
        <v>7</v>
      </c>
      <c r="I80" s="135" t="s">
        <v>365</v>
      </c>
      <c r="J80" s="242">
        <v>6</v>
      </c>
      <c r="K80" s="244">
        <f>VLOOKUP($H80,'ÇELİK HASIR-KESİT TABLOSU'!$B$8:$AA$30,HLOOKUP($F80,'ÇELİK HASIR-KESİT TABLOSU'!$B$5:$AA$8,3,FALSE)+3)*(IF(I80="d",2,1))</f>
        <v>5.14</v>
      </c>
      <c r="L80" s="245">
        <f>VLOOKUP($J80,'ÇELİK HASIR-KESİT TABLOSU'!$B$8:$AA$30,HLOOKUP($G80,'ÇELİK HASIR-KESİT TABLOSU'!$B$5:$AA$8,3,FALSE)+3)</f>
        <v>1.13</v>
      </c>
      <c r="M80" s="235">
        <f t="shared" si="5"/>
        <v>4.54</v>
      </c>
      <c r="N80" s="236">
        <f>ROUND((C80*P80*(VLOOKUP(H80,'ÇELİK HASIR-KESİT TABLOSU'!$B$8:$AA$30,2)))+(E80*O80*(VLOOKUP(J80,'ÇELİK HASIR-KESİT TABLOSU'!$B$8:$AA$30,2))),2)</f>
        <v>48.82</v>
      </c>
      <c r="O80" s="225">
        <f t="shared" si="6"/>
        <v>20</v>
      </c>
      <c r="P80" s="237">
        <f t="shared" si="7"/>
        <v>26</v>
      </c>
      <c r="Q80" s="238"/>
      <c r="R80" s="225">
        <f t="shared" si="9"/>
        <v>76</v>
      </c>
      <c r="S80" s="239" t="str">
        <f t="shared" si="8"/>
        <v>R513</v>
      </c>
    </row>
    <row r="81" spans="2:19" ht="10.5" thickBot="1">
      <c r="B81" s="246" t="s">
        <v>401</v>
      </c>
      <c r="C81" s="247">
        <v>5</v>
      </c>
      <c r="D81" s="248"/>
      <c r="E81" s="247">
        <v>2.15</v>
      </c>
      <c r="F81" s="249">
        <v>150</v>
      </c>
      <c r="G81" s="250">
        <v>250</v>
      </c>
      <c r="H81" s="251">
        <v>7.5</v>
      </c>
      <c r="I81" s="252" t="s">
        <v>365</v>
      </c>
      <c r="J81" s="253">
        <v>6.5</v>
      </c>
      <c r="K81" s="254">
        <f>VLOOKUP($H81,'ÇELİK HASIR-KESİT TABLOSU'!$B$8:$AA$30,HLOOKUP($F81,'ÇELİK HASIR-KESİT TABLOSU'!$B$5:$AA$8,3,FALSE)+3)*(IF(I81="d",2,1))</f>
        <v>5.9</v>
      </c>
      <c r="L81" s="255">
        <f>VLOOKUP($J81,'ÇELİK HASIR-KESİT TABLOSU'!$B$8:$AA$30,HLOOKUP($G81,'ÇELİK HASIR-KESİT TABLOSU'!$B$5:$AA$8,3,FALSE)+3)</f>
        <v>1.33</v>
      </c>
      <c r="M81" s="256">
        <f t="shared" si="5"/>
        <v>5.24</v>
      </c>
      <c r="N81" s="257">
        <f>ROUND((C81*P81*(VLOOKUP(H81,'ÇELİK HASIR-KESİT TABLOSU'!$B$8:$AA$30,2)))+(E81*O81*(VLOOKUP(J81,'ÇELİK HASIR-KESİT TABLOSU'!$B$8:$AA$30,2))),2)</f>
        <v>56.29</v>
      </c>
      <c r="O81" s="258">
        <f t="shared" si="6"/>
        <v>20</v>
      </c>
      <c r="P81" s="250">
        <f t="shared" si="7"/>
        <v>26</v>
      </c>
      <c r="R81" s="258">
        <f t="shared" si="9"/>
        <v>77</v>
      </c>
      <c r="S81" s="259" t="str">
        <f t="shared" si="8"/>
        <v>R589</v>
      </c>
    </row>
    <row r="82" ht="10.5" thickTop="1"/>
    <row r="83" spans="2:19" ht="9.75">
      <c r="B83" s="230" t="s">
        <v>649</v>
      </c>
      <c r="C83" s="133">
        <v>4</v>
      </c>
      <c r="D83" s="133"/>
      <c r="E83" s="133">
        <v>2.15</v>
      </c>
      <c r="F83" s="240">
        <v>150</v>
      </c>
      <c r="G83" s="237">
        <v>150</v>
      </c>
      <c r="H83" s="241">
        <v>6.5</v>
      </c>
      <c r="I83" s="134"/>
      <c r="J83" s="242">
        <v>5.5</v>
      </c>
      <c r="K83" s="233">
        <f>VLOOKUP($H83,'ÇELİK HASIR-KESİT TABLOSU'!$B$8:$AA$30,HLOOKUP($F83,'ÇELİK HASIR-KESİT TABLOSU'!$B$5:$AA$8,3,FALSE)+3)*(IF(I83="d",2,1))</f>
        <v>2.21</v>
      </c>
      <c r="L83" s="234">
        <f>VLOOKUP($J83,'ÇELİK HASIR-KESİT TABLOSU'!$B$8:$AA$30,HLOOKUP($G83,'ÇELİK HASIR-KESİT TABLOSU'!$B$5:$AA$8,3,FALSE)+3)</f>
        <v>1.58</v>
      </c>
      <c r="M83" s="235">
        <f>ROUND(N83/(5*E83),2)</f>
        <v>2.42</v>
      </c>
      <c r="N83" s="236">
        <f>ROUND((C83*P83*(VLOOKUP(H83,'ÇELİK HASIR-KESİT TABLOSU'!$B$8:$AA$30,2)))+(E83*O83*(VLOOKUP(J83,'ÇELİK HASIR-KESİT TABLOSU'!$B$8:$AA$30,2))),2)</f>
        <v>26.05</v>
      </c>
      <c r="O83" s="225">
        <f>ROUND((((C83-(IF(MID(B83,1,1)="Q",0.2,0.25))-(IF(D83&lt;&gt;0,(IF(MID(B83,1,1)="Q",(D83-0.1),(D83-0.125))),0)))/(G83/1000)+1)),0)</f>
        <v>26</v>
      </c>
      <c r="P83" s="237">
        <f>ROUND((((E83-(0.05))/(F83/1000)+1)+(IF(I83="d",(IF(MID(B83,1,1)="Q",((E83-0.05-((F83/1000)*8))/(F83/1000))+1,((E83-0.05-((F83/1000)*4))/(F83/1000))+1)),0))),0)</f>
        <v>15</v>
      </c>
      <c r="Q83" s="238"/>
      <c r="R83" s="225">
        <f>R82+1</f>
        <v>1</v>
      </c>
      <c r="S83" s="239" t="str">
        <f>B83</f>
        <v>Q221/158-a</v>
      </c>
    </row>
    <row r="84" spans="2:19" ht="9.75">
      <c r="B84" s="230" t="s">
        <v>650</v>
      </c>
      <c r="C84" s="133">
        <v>5</v>
      </c>
      <c r="D84" s="133">
        <v>0.7</v>
      </c>
      <c r="E84" s="133">
        <v>2.15</v>
      </c>
      <c r="F84" s="240">
        <v>150</v>
      </c>
      <c r="G84" s="237">
        <v>150</v>
      </c>
      <c r="H84" s="241">
        <v>6.5</v>
      </c>
      <c r="I84" s="134"/>
      <c r="J84" s="242">
        <v>5.5</v>
      </c>
      <c r="K84" s="233">
        <f>VLOOKUP($H84,'ÇELİK HASIR-KESİT TABLOSU'!$B$8:$AA$30,HLOOKUP($F84,'ÇELİK HASIR-KESİT TABLOSU'!$B$5:$AA$8,3,FALSE)+3)*(IF(I84="d",2,1))</f>
        <v>2.21</v>
      </c>
      <c r="L84" s="234">
        <f>VLOOKUP($J84,'ÇELİK HASIR-KESİT TABLOSU'!$B$8:$AA$30,HLOOKUP($G84,'ÇELİK HASIR-KESİT TABLOSU'!$B$5:$AA$8,3,FALSE)+3)</f>
        <v>1.58</v>
      </c>
      <c r="M84" s="235">
        <f>ROUND(N84/(5*E84),2)</f>
        <v>2.9</v>
      </c>
      <c r="N84" s="236">
        <f>ROUND((C84*P84*(VLOOKUP(H84,'ÇELİK HASIR-KESİT TABLOSU'!$B$8:$AA$30,2)))+(E84*O84*(VLOOKUP(J84,'ÇELİK HASIR-KESİT TABLOSU'!$B$8:$AA$30,2))),2)</f>
        <v>31.16</v>
      </c>
      <c r="O84" s="225">
        <f>ROUND((((C84-(IF(MID(B84,1,1)="Q",0.2,0.25))-(IF(D84&lt;&gt;0,(IF(MID(B84,1,1)="Q",(D84-0.1),(D84-0.125))),0)))/(G84/1000)+1)),0)</f>
        <v>29</v>
      </c>
      <c r="P84" s="237">
        <f>ROUND((((E84-(0.05))/(F84/1000)+1)+(IF(I84="d",(IF(MID(B84,1,1)="Q",((E84-0.05-((F84/1000)*8))/(F84/1000))+1,((E84-0.05-((F84/1000)*4))/(F84/1000))+1)),0))),0)</f>
        <v>15</v>
      </c>
      <c r="Q84" s="238"/>
      <c r="R84" s="225">
        <f>R83+1</f>
        <v>2</v>
      </c>
      <c r="S84" s="239" t="str">
        <f>B84</f>
        <v>Q221/158-b</v>
      </c>
    </row>
    <row r="85" spans="2:19" ht="9.75">
      <c r="B85" s="230" t="s">
        <v>651</v>
      </c>
      <c r="C85" s="133">
        <v>5</v>
      </c>
      <c r="D85" s="133"/>
      <c r="E85" s="133">
        <v>2.15</v>
      </c>
      <c r="F85" s="240">
        <v>180</v>
      </c>
      <c r="G85" s="237">
        <v>180</v>
      </c>
      <c r="H85" s="241">
        <v>6.5</v>
      </c>
      <c r="I85" s="134"/>
      <c r="J85" s="242">
        <v>5.5</v>
      </c>
      <c r="K85" s="233">
        <f>VLOOKUP($H85,'ÇELİK HASIR-KESİT TABLOSU'!$B$8:$AA$30,HLOOKUP($F85,'ÇELİK HASIR-KESİT TABLOSU'!$B$5:$AA$8,3,FALSE)+3)*(IF(I85="d",2,1))</f>
        <v>1.84</v>
      </c>
      <c r="L85" s="234">
        <f>VLOOKUP($J85,'ÇELİK HASIR-KESİT TABLOSU'!$B$8:$AA$30,HLOOKUP($G85,'ÇELİK HASIR-KESİT TABLOSU'!$B$5:$AA$8,3,FALSE)+3)</f>
        <v>1.32</v>
      </c>
      <c r="M85" s="235">
        <f>ROUND(N85/(5*E85),2)</f>
        <v>2.62</v>
      </c>
      <c r="N85" s="236">
        <f>ROUND((C85*P85*(VLOOKUP(H85,'ÇELİK HASIR-KESİT TABLOSU'!$B$8:$AA$30,2)))+(E85*O85*(VLOOKUP(J85,'ÇELİK HASIR-KESİT TABLOSU'!$B$8:$AA$30,2))),2)</f>
        <v>28.16</v>
      </c>
      <c r="O85" s="225">
        <f>ROUND((((C85-(IF(MID(B85,1,1)="Q",0.2,0.25))-(IF(D85&lt;&gt;0,(IF(MID(B85,1,1)="Q",(D85-0.1),(D85-0.125))),0)))/(G85/1000)+1)),0)</f>
        <v>28</v>
      </c>
      <c r="P85" s="237">
        <f>ROUND((((E85-(0.05))/(F85/1000)+1)+(IF(I85="d",(IF(MID(B85,1,1)="Q",((E85-0.05-((F85/1000)*8))/(F85/1000))+1,((E85-0.05-((F85/1000)*4))/(F85/1000))+1)),0))),0)</f>
        <v>13</v>
      </c>
      <c r="Q85" s="238"/>
      <c r="R85" s="225">
        <f>R84+1</f>
        <v>3</v>
      </c>
      <c r="S85" s="239" t="str">
        <f>B85</f>
        <v>Q221/158-c</v>
      </c>
    </row>
    <row r="86" spans="2:19" ht="9.75">
      <c r="B86" s="230" t="s">
        <v>652</v>
      </c>
      <c r="C86" s="133">
        <v>5</v>
      </c>
      <c r="D86" s="133">
        <v>0.85</v>
      </c>
      <c r="E86" s="133">
        <v>1.85</v>
      </c>
      <c r="F86" s="240">
        <v>150</v>
      </c>
      <c r="G86" s="237">
        <v>150</v>
      </c>
      <c r="H86" s="241">
        <v>6.5</v>
      </c>
      <c r="I86" s="134"/>
      <c r="J86" s="242">
        <v>5.5</v>
      </c>
      <c r="K86" s="233">
        <f>VLOOKUP($H86,'ÇELİK HASIR-KESİT TABLOSU'!$B$8:$AA$30,HLOOKUP($F86,'ÇELİK HASIR-KESİT TABLOSU'!$B$5:$AA$8,3,FALSE)+3)*(IF(I86="d",2,1))</f>
        <v>2.21</v>
      </c>
      <c r="L86" s="234">
        <f>VLOOKUP($J86,'ÇELİK HASIR-KESİT TABLOSU'!$B$8:$AA$30,HLOOKUP($G86,'ÇELİK HASIR-KESİT TABLOSU'!$B$5:$AA$8,3,FALSE)+3)</f>
        <v>1.58</v>
      </c>
      <c r="M86" s="235">
        <f>ROUND(N86/(5*E86),2)</f>
        <v>2.87</v>
      </c>
      <c r="N86" s="236">
        <f>ROUND((C86*P86*(VLOOKUP(H86,'ÇELİK HASIR-KESİT TABLOSU'!$B$8:$AA$30,2)))+(E86*O86*(VLOOKUP(J86,'ÇELİK HASIR-KESİT TABLOSU'!$B$8:$AA$30,2))),2)</f>
        <v>26.59</v>
      </c>
      <c r="O86" s="225">
        <f>ROUND((((C86-(IF(MID(B86,1,1)="Q",0.2,0.25))-(IF(D86&lt;&gt;0,(IF(MID(B86,1,1)="Q",(D86-0.1),(D86-0.125))),0)))/(G86/1000)+1)),0)</f>
        <v>28</v>
      </c>
      <c r="P86" s="237">
        <f>ROUND((((E86-(0.05))/(F86/1000)+1)+(IF(I86="d",(IF(MID(B86,1,1)="Q",((E86-0.05-((F86/1000)*8))/(F86/1000))+1,((E86-0.05-((F86/1000)*4))/(F86/1000))+1)),0))),0)</f>
        <v>13</v>
      </c>
      <c r="Q86" s="238"/>
      <c r="R86" s="225">
        <f>R85+1</f>
        <v>4</v>
      </c>
      <c r="S86" s="239" t="str">
        <f>B86</f>
        <v>Q221/158-d</v>
      </c>
    </row>
  </sheetData>
  <sheetProtection/>
  <mergeCells count="9">
    <mergeCell ref="B1:P1"/>
    <mergeCell ref="C2:E2"/>
    <mergeCell ref="F2:G2"/>
    <mergeCell ref="H2:J2"/>
    <mergeCell ref="K2:L2"/>
    <mergeCell ref="C3:E3"/>
    <mergeCell ref="F3:G3"/>
    <mergeCell ref="H3:J3"/>
    <mergeCell ref="K3:L3"/>
  </mergeCells>
  <conditionalFormatting sqref="D5:D81 D83:D86">
    <cfRule type="cellIs" priority="1" dxfId="0" operator="lessThan" stopIfTrue="1">
      <formula>0</formula>
    </cfRule>
  </conditionalFormatting>
  <printOptions/>
  <pageMargins left="0.9448818897637796" right="0.35433070866141736" top="0.984251968503937" bottom="0.3937007874015748" header="0.5118110236220472" footer="0.5118110236220472"/>
  <pageSetup horizontalDpi="600" verticalDpi="600" orientation="portrait" paperSize="9" scale="64" r:id="rId3"/>
  <legacyDrawing r:id="rId2"/>
</worksheet>
</file>

<file path=xl/worksheets/sheet20.xml><?xml version="1.0" encoding="utf-8"?>
<worksheet xmlns="http://schemas.openxmlformats.org/spreadsheetml/2006/main" xmlns:r="http://schemas.openxmlformats.org/officeDocument/2006/relationships">
  <sheetPr>
    <tabColor indexed="60"/>
  </sheetPr>
  <dimension ref="B1:AC33"/>
  <sheetViews>
    <sheetView showGridLines="0" showZeros="0" zoomScalePageLayoutView="0" workbookViewId="0" topLeftCell="A1">
      <selection activeCell="B2" sqref="B2:B4"/>
    </sheetView>
  </sheetViews>
  <sheetFormatPr defaultColWidth="9.125" defaultRowHeight="12.75"/>
  <cols>
    <col min="1" max="1" width="2.625" style="137" customWidth="1"/>
    <col min="2" max="4" width="7.625" style="137" customWidth="1"/>
    <col min="5" max="27" width="6.625" style="137" customWidth="1"/>
    <col min="28" max="16384" width="9.125" style="137" customWidth="1"/>
  </cols>
  <sheetData>
    <row r="1" ht="11.25">
      <c r="F1" s="137" t="s">
        <v>408</v>
      </c>
    </row>
    <row r="2" spans="2:27" ht="12">
      <c r="B2" s="372" t="s">
        <v>407</v>
      </c>
      <c r="C2" s="375" t="s">
        <v>409</v>
      </c>
      <c r="D2" s="375" t="s">
        <v>410</v>
      </c>
      <c r="E2" s="369" t="s">
        <v>402</v>
      </c>
      <c r="F2" s="369"/>
      <c r="G2" s="369"/>
      <c r="H2" s="369"/>
      <c r="I2" s="369"/>
      <c r="J2" s="369"/>
      <c r="K2" s="369"/>
      <c r="L2" s="369"/>
      <c r="M2" s="369"/>
      <c r="N2" s="369"/>
      <c r="O2" s="369"/>
      <c r="P2" s="369"/>
      <c r="Q2" s="369"/>
      <c r="R2" s="369"/>
      <c r="S2" s="369"/>
      <c r="T2" s="369"/>
      <c r="U2" s="369"/>
      <c r="V2" s="370"/>
      <c r="W2" s="370"/>
      <c r="X2" s="370"/>
      <c r="Y2" s="370"/>
      <c r="Z2" s="370"/>
      <c r="AA2" s="371"/>
    </row>
    <row r="3" spans="2:28" ht="12.75" customHeight="1">
      <c r="B3" s="373"/>
      <c r="C3" s="376"/>
      <c r="D3" s="376"/>
      <c r="E3" s="366" t="s">
        <v>403</v>
      </c>
      <c r="F3" s="366"/>
      <c r="G3" s="366"/>
      <c r="H3" s="366"/>
      <c r="I3" s="366"/>
      <c r="J3" s="366"/>
      <c r="K3" s="366"/>
      <c r="L3" s="366"/>
      <c r="M3" s="366"/>
      <c r="N3" s="366"/>
      <c r="O3" s="366"/>
      <c r="P3" s="366"/>
      <c r="Q3" s="366"/>
      <c r="R3" s="366"/>
      <c r="S3" s="366"/>
      <c r="T3" s="366"/>
      <c r="U3" s="366"/>
      <c r="V3" s="367"/>
      <c r="W3" s="367"/>
      <c r="X3" s="367"/>
      <c r="Y3" s="367"/>
      <c r="Z3" s="367"/>
      <c r="AA3" s="368"/>
      <c r="AB3" s="139"/>
    </row>
    <row r="4" spans="2:27" ht="12.75" customHeight="1">
      <c r="B4" s="374"/>
      <c r="C4" s="377"/>
      <c r="D4" s="377"/>
      <c r="E4" s="366" t="s">
        <v>404</v>
      </c>
      <c r="F4" s="366"/>
      <c r="G4" s="366"/>
      <c r="H4" s="366"/>
      <c r="I4" s="366"/>
      <c r="J4" s="366"/>
      <c r="K4" s="366"/>
      <c r="L4" s="366"/>
      <c r="M4" s="366"/>
      <c r="N4" s="366"/>
      <c r="O4" s="366"/>
      <c r="P4" s="366"/>
      <c r="Q4" s="366"/>
      <c r="R4" s="366"/>
      <c r="S4" s="366"/>
      <c r="T4" s="366"/>
      <c r="U4" s="366"/>
      <c r="V4" s="367"/>
      <c r="W4" s="367"/>
      <c r="X4" s="367"/>
      <c r="Y4" s="367"/>
      <c r="Z4" s="367"/>
      <c r="AA4" s="368"/>
    </row>
    <row r="5" spans="2:29" ht="12.75">
      <c r="B5" s="140" t="s">
        <v>22</v>
      </c>
      <c r="C5" s="141" t="s">
        <v>23</v>
      </c>
      <c r="D5" s="142" t="s">
        <v>3</v>
      </c>
      <c r="E5" s="141">
        <v>50</v>
      </c>
      <c r="F5" s="141">
        <v>75</v>
      </c>
      <c r="G5" s="141">
        <v>100</v>
      </c>
      <c r="H5" s="141">
        <v>110</v>
      </c>
      <c r="I5" s="141">
        <v>120</v>
      </c>
      <c r="J5" s="141">
        <v>130</v>
      </c>
      <c r="K5" s="141">
        <v>140</v>
      </c>
      <c r="L5" s="141">
        <v>150</v>
      </c>
      <c r="M5" s="141">
        <v>160</v>
      </c>
      <c r="N5" s="141">
        <v>170</v>
      </c>
      <c r="O5" s="141">
        <v>180</v>
      </c>
      <c r="P5" s="141">
        <v>190</v>
      </c>
      <c r="Q5" s="141">
        <v>200</v>
      </c>
      <c r="R5" s="141">
        <v>210</v>
      </c>
      <c r="S5" s="141">
        <v>220</v>
      </c>
      <c r="T5" s="141">
        <v>230</v>
      </c>
      <c r="U5" s="141">
        <v>240</v>
      </c>
      <c r="V5" s="141">
        <v>250</v>
      </c>
      <c r="W5" s="141">
        <v>260</v>
      </c>
      <c r="X5" s="141">
        <v>270</v>
      </c>
      <c r="Y5" s="141">
        <v>280</v>
      </c>
      <c r="Z5" s="141">
        <v>290</v>
      </c>
      <c r="AA5" s="143">
        <v>300</v>
      </c>
      <c r="AB5" s="139"/>
      <c r="AC5" s="139"/>
    </row>
    <row r="6" spans="2:29" ht="12.75">
      <c r="B6" s="140"/>
      <c r="C6" s="141"/>
      <c r="D6" s="142"/>
      <c r="E6" s="141" t="s">
        <v>405</v>
      </c>
      <c r="F6" s="141" t="s">
        <v>406</v>
      </c>
      <c r="G6" s="141"/>
      <c r="H6" s="141"/>
      <c r="I6" s="141"/>
      <c r="J6" s="141"/>
      <c r="K6" s="141"/>
      <c r="L6" s="141"/>
      <c r="M6" s="141"/>
      <c r="N6" s="141"/>
      <c r="O6" s="141"/>
      <c r="P6" s="141"/>
      <c r="Q6" s="141"/>
      <c r="R6" s="141"/>
      <c r="S6" s="141"/>
      <c r="T6" s="141"/>
      <c r="U6" s="141"/>
      <c r="V6" s="141"/>
      <c r="W6" s="141"/>
      <c r="X6" s="141"/>
      <c r="Y6" s="141"/>
      <c r="Z6" s="141"/>
      <c r="AA6" s="143"/>
      <c r="AB6" s="139"/>
      <c r="AC6" s="139"/>
    </row>
    <row r="7" spans="2:29" ht="12.75">
      <c r="B7" s="140"/>
      <c r="C7" s="141"/>
      <c r="D7" s="142"/>
      <c r="E7" s="141">
        <v>1</v>
      </c>
      <c r="F7" s="141">
        <v>2</v>
      </c>
      <c r="G7" s="141">
        <v>3</v>
      </c>
      <c r="H7" s="141">
        <v>4</v>
      </c>
      <c r="I7" s="141">
        <v>5</v>
      </c>
      <c r="J7" s="141">
        <v>6</v>
      </c>
      <c r="K7" s="141">
        <v>7</v>
      </c>
      <c r="L7" s="141">
        <v>8</v>
      </c>
      <c r="M7" s="141">
        <v>9</v>
      </c>
      <c r="N7" s="141">
        <v>10</v>
      </c>
      <c r="O7" s="141">
        <v>11</v>
      </c>
      <c r="P7" s="141">
        <v>12</v>
      </c>
      <c r="Q7" s="141">
        <v>13</v>
      </c>
      <c r="R7" s="141">
        <v>14</v>
      </c>
      <c r="S7" s="141">
        <v>15</v>
      </c>
      <c r="T7" s="141">
        <v>16</v>
      </c>
      <c r="U7" s="141">
        <v>17</v>
      </c>
      <c r="V7" s="141">
        <v>18</v>
      </c>
      <c r="W7" s="141">
        <v>19</v>
      </c>
      <c r="X7" s="141">
        <v>20</v>
      </c>
      <c r="Y7" s="141">
        <v>21</v>
      </c>
      <c r="Z7" s="141">
        <v>22</v>
      </c>
      <c r="AA7" s="143">
        <v>23</v>
      </c>
      <c r="AB7" s="139"/>
      <c r="AC7" s="139"/>
    </row>
    <row r="8" spans="2:29" ht="11.25">
      <c r="B8" s="144">
        <v>4</v>
      </c>
      <c r="C8" s="145">
        <f aca="true" t="shared" si="0" ref="C8:C30">PI()/4*(B8/1000)^2*7850</f>
        <v>0.0986460093227195</v>
      </c>
      <c r="D8" s="145">
        <f aca="true" t="shared" si="1" ref="D8:D30">PI()/4*(B8/10)^2</f>
        <v>0.12566370614359174</v>
      </c>
      <c r="E8" s="138">
        <f aca="true" t="shared" si="2" ref="E8:N17">ROUND(1000/E$5*$D8,2)</f>
        <v>2.51</v>
      </c>
      <c r="F8" s="138">
        <f t="shared" si="2"/>
        <v>1.68</v>
      </c>
      <c r="G8" s="138">
        <f t="shared" si="2"/>
        <v>1.26</v>
      </c>
      <c r="H8" s="138">
        <f t="shared" si="2"/>
        <v>1.14</v>
      </c>
      <c r="I8" s="138">
        <f t="shared" si="2"/>
        <v>1.05</v>
      </c>
      <c r="J8" s="138">
        <f t="shared" si="2"/>
        <v>0.97</v>
      </c>
      <c r="K8" s="138">
        <f t="shared" si="2"/>
        <v>0.9</v>
      </c>
      <c r="L8" s="146">
        <f t="shared" si="2"/>
        <v>0.84</v>
      </c>
      <c r="M8" s="146">
        <f t="shared" si="2"/>
        <v>0.79</v>
      </c>
      <c r="N8" s="146">
        <f t="shared" si="2"/>
        <v>0.74</v>
      </c>
      <c r="O8" s="146">
        <f aca="true" t="shared" si="3" ref="O8:AA17">ROUND(1000/O$5*$D8,2)</f>
        <v>0.7</v>
      </c>
      <c r="P8" s="146">
        <f t="shared" si="3"/>
        <v>0.66</v>
      </c>
      <c r="Q8" s="138">
        <f t="shared" si="3"/>
        <v>0.63</v>
      </c>
      <c r="R8" s="138">
        <f t="shared" si="3"/>
        <v>0.6</v>
      </c>
      <c r="S8" s="138">
        <f t="shared" si="3"/>
        <v>0.57</v>
      </c>
      <c r="T8" s="138">
        <f t="shared" si="3"/>
        <v>0.55</v>
      </c>
      <c r="U8" s="138">
        <f t="shared" si="3"/>
        <v>0.52</v>
      </c>
      <c r="V8" s="138">
        <f t="shared" si="3"/>
        <v>0.5</v>
      </c>
      <c r="W8" s="138">
        <f t="shared" si="3"/>
        <v>0.48</v>
      </c>
      <c r="X8" s="138">
        <f t="shared" si="3"/>
        <v>0.47</v>
      </c>
      <c r="Y8" s="138">
        <f t="shared" si="3"/>
        <v>0.45</v>
      </c>
      <c r="Z8" s="138">
        <f t="shared" si="3"/>
        <v>0.43</v>
      </c>
      <c r="AA8" s="147">
        <f t="shared" si="3"/>
        <v>0.42</v>
      </c>
      <c r="AB8" s="139"/>
      <c r="AC8" s="139"/>
    </row>
    <row r="9" spans="2:29" ht="11.25">
      <c r="B9" s="144">
        <v>4.5</v>
      </c>
      <c r="C9" s="145">
        <f t="shared" si="0"/>
        <v>0.12484885554906686</v>
      </c>
      <c r="D9" s="145">
        <f t="shared" si="1"/>
        <v>0.1590431280879833</v>
      </c>
      <c r="E9" s="138">
        <f t="shared" si="2"/>
        <v>3.18</v>
      </c>
      <c r="F9" s="138">
        <f t="shared" si="2"/>
        <v>2.12</v>
      </c>
      <c r="G9" s="138">
        <f t="shared" si="2"/>
        <v>1.59</v>
      </c>
      <c r="H9" s="138">
        <f t="shared" si="2"/>
        <v>1.45</v>
      </c>
      <c r="I9" s="138">
        <f t="shared" si="2"/>
        <v>1.33</v>
      </c>
      <c r="J9" s="138">
        <f t="shared" si="2"/>
        <v>1.22</v>
      </c>
      <c r="K9" s="138">
        <f t="shared" si="2"/>
        <v>1.14</v>
      </c>
      <c r="L9" s="146">
        <f t="shared" si="2"/>
        <v>1.06</v>
      </c>
      <c r="M9" s="146">
        <f t="shared" si="2"/>
        <v>0.99</v>
      </c>
      <c r="N9" s="146">
        <f t="shared" si="2"/>
        <v>0.94</v>
      </c>
      <c r="O9" s="146">
        <f t="shared" si="3"/>
        <v>0.88</v>
      </c>
      <c r="P9" s="146">
        <f t="shared" si="3"/>
        <v>0.84</v>
      </c>
      <c r="Q9" s="138">
        <f t="shared" si="3"/>
        <v>0.8</v>
      </c>
      <c r="R9" s="138">
        <f t="shared" si="3"/>
        <v>0.76</v>
      </c>
      <c r="S9" s="138">
        <f t="shared" si="3"/>
        <v>0.72</v>
      </c>
      <c r="T9" s="138">
        <f t="shared" si="3"/>
        <v>0.69</v>
      </c>
      <c r="U9" s="138">
        <f t="shared" si="3"/>
        <v>0.66</v>
      </c>
      <c r="V9" s="138">
        <f t="shared" si="3"/>
        <v>0.64</v>
      </c>
      <c r="W9" s="138">
        <f t="shared" si="3"/>
        <v>0.61</v>
      </c>
      <c r="X9" s="138">
        <f t="shared" si="3"/>
        <v>0.59</v>
      </c>
      <c r="Y9" s="138">
        <f t="shared" si="3"/>
        <v>0.57</v>
      </c>
      <c r="Z9" s="138">
        <f t="shared" si="3"/>
        <v>0.55</v>
      </c>
      <c r="AA9" s="147">
        <f t="shared" si="3"/>
        <v>0.53</v>
      </c>
      <c r="AB9" s="139"/>
      <c r="AC9" s="139"/>
    </row>
    <row r="10" spans="2:29" ht="11.25">
      <c r="B10" s="144">
        <v>5</v>
      </c>
      <c r="C10" s="145">
        <f t="shared" si="0"/>
        <v>0.1541343895667492</v>
      </c>
      <c r="D10" s="145">
        <f t="shared" si="1"/>
        <v>0.19634954084936207</v>
      </c>
      <c r="E10" s="138">
        <f t="shared" si="2"/>
        <v>3.93</v>
      </c>
      <c r="F10" s="138">
        <f t="shared" si="2"/>
        <v>2.62</v>
      </c>
      <c r="G10" s="138">
        <f t="shared" si="2"/>
        <v>1.96</v>
      </c>
      <c r="H10" s="138">
        <f t="shared" si="2"/>
        <v>1.78</v>
      </c>
      <c r="I10" s="138">
        <f t="shared" si="2"/>
        <v>1.64</v>
      </c>
      <c r="J10" s="138">
        <f t="shared" si="2"/>
        <v>1.51</v>
      </c>
      <c r="K10" s="138">
        <f t="shared" si="2"/>
        <v>1.4</v>
      </c>
      <c r="L10" s="146">
        <f t="shared" si="2"/>
        <v>1.31</v>
      </c>
      <c r="M10" s="146">
        <f t="shared" si="2"/>
        <v>1.23</v>
      </c>
      <c r="N10" s="146">
        <f t="shared" si="2"/>
        <v>1.15</v>
      </c>
      <c r="O10" s="146">
        <f t="shared" si="3"/>
        <v>1.09</v>
      </c>
      <c r="P10" s="146">
        <f t="shared" si="3"/>
        <v>1.03</v>
      </c>
      <c r="Q10" s="138">
        <f t="shared" si="3"/>
        <v>0.98</v>
      </c>
      <c r="R10" s="138">
        <f t="shared" si="3"/>
        <v>0.93</v>
      </c>
      <c r="S10" s="138">
        <f t="shared" si="3"/>
        <v>0.89</v>
      </c>
      <c r="T10" s="138">
        <f t="shared" si="3"/>
        <v>0.85</v>
      </c>
      <c r="U10" s="138">
        <f t="shared" si="3"/>
        <v>0.82</v>
      </c>
      <c r="V10" s="138">
        <f t="shared" si="3"/>
        <v>0.79</v>
      </c>
      <c r="W10" s="138">
        <f t="shared" si="3"/>
        <v>0.76</v>
      </c>
      <c r="X10" s="138">
        <f t="shared" si="3"/>
        <v>0.73</v>
      </c>
      <c r="Y10" s="138">
        <f t="shared" si="3"/>
        <v>0.7</v>
      </c>
      <c r="Z10" s="138">
        <f t="shared" si="3"/>
        <v>0.68</v>
      </c>
      <c r="AA10" s="147">
        <f t="shared" si="3"/>
        <v>0.65</v>
      </c>
      <c r="AB10" s="139"/>
      <c r="AC10" s="139"/>
    </row>
    <row r="11" spans="2:29" ht="11.25">
      <c r="B11" s="144">
        <v>5.5</v>
      </c>
      <c r="C11" s="145">
        <f t="shared" si="0"/>
        <v>0.18650261137576654</v>
      </c>
      <c r="D11" s="145">
        <f t="shared" si="1"/>
        <v>0.23758294442772815</v>
      </c>
      <c r="E11" s="138">
        <f t="shared" si="2"/>
        <v>4.75</v>
      </c>
      <c r="F11" s="138">
        <f t="shared" si="2"/>
        <v>3.17</v>
      </c>
      <c r="G11" s="138">
        <f t="shared" si="2"/>
        <v>2.38</v>
      </c>
      <c r="H11" s="138">
        <f t="shared" si="2"/>
        <v>2.16</v>
      </c>
      <c r="I11" s="138">
        <f t="shared" si="2"/>
        <v>1.98</v>
      </c>
      <c r="J11" s="138">
        <f t="shared" si="2"/>
        <v>1.83</v>
      </c>
      <c r="K11" s="138">
        <f t="shared" si="2"/>
        <v>1.7</v>
      </c>
      <c r="L11" s="146">
        <f t="shared" si="2"/>
        <v>1.58</v>
      </c>
      <c r="M11" s="146">
        <f t="shared" si="2"/>
        <v>1.48</v>
      </c>
      <c r="N11" s="146">
        <f t="shared" si="2"/>
        <v>1.4</v>
      </c>
      <c r="O11" s="146">
        <f t="shared" si="3"/>
        <v>1.32</v>
      </c>
      <c r="P11" s="146">
        <f t="shared" si="3"/>
        <v>1.25</v>
      </c>
      <c r="Q11" s="138">
        <f t="shared" si="3"/>
        <v>1.19</v>
      </c>
      <c r="R11" s="138">
        <f t="shared" si="3"/>
        <v>1.13</v>
      </c>
      <c r="S11" s="138">
        <f t="shared" si="3"/>
        <v>1.08</v>
      </c>
      <c r="T11" s="138">
        <f t="shared" si="3"/>
        <v>1.03</v>
      </c>
      <c r="U11" s="138">
        <f t="shared" si="3"/>
        <v>0.99</v>
      </c>
      <c r="V11" s="138">
        <f t="shared" si="3"/>
        <v>0.95</v>
      </c>
      <c r="W11" s="138">
        <f t="shared" si="3"/>
        <v>0.91</v>
      </c>
      <c r="X11" s="138">
        <f t="shared" si="3"/>
        <v>0.88</v>
      </c>
      <c r="Y11" s="138">
        <f t="shared" si="3"/>
        <v>0.85</v>
      </c>
      <c r="Z11" s="138">
        <f t="shared" si="3"/>
        <v>0.82</v>
      </c>
      <c r="AA11" s="147">
        <f t="shared" si="3"/>
        <v>0.79</v>
      </c>
      <c r="AB11" s="139"/>
      <c r="AC11" s="139"/>
    </row>
    <row r="12" spans="2:29" ht="11.25">
      <c r="B12" s="144">
        <v>6</v>
      </c>
      <c r="C12" s="145">
        <f t="shared" si="0"/>
        <v>0.22195352097611887</v>
      </c>
      <c r="D12" s="145">
        <f t="shared" si="1"/>
        <v>0.2827433388230814</v>
      </c>
      <c r="E12" s="138">
        <f t="shared" si="2"/>
        <v>5.65</v>
      </c>
      <c r="F12" s="138">
        <f t="shared" si="2"/>
        <v>3.77</v>
      </c>
      <c r="G12" s="138">
        <f t="shared" si="2"/>
        <v>2.83</v>
      </c>
      <c r="H12" s="138">
        <f t="shared" si="2"/>
        <v>2.57</v>
      </c>
      <c r="I12" s="138">
        <f t="shared" si="2"/>
        <v>2.36</v>
      </c>
      <c r="J12" s="138">
        <f t="shared" si="2"/>
        <v>2.17</v>
      </c>
      <c r="K12" s="138">
        <f t="shared" si="2"/>
        <v>2.02</v>
      </c>
      <c r="L12" s="146">
        <f t="shared" si="2"/>
        <v>1.88</v>
      </c>
      <c r="M12" s="146">
        <f t="shared" si="2"/>
        <v>1.77</v>
      </c>
      <c r="N12" s="146">
        <f t="shared" si="2"/>
        <v>1.66</v>
      </c>
      <c r="O12" s="146">
        <f t="shared" si="3"/>
        <v>1.57</v>
      </c>
      <c r="P12" s="146">
        <f t="shared" si="3"/>
        <v>1.49</v>
      </c>
      <c r="Q12" s="138">
        <f t="shared" si="3"/>
        <v>1.41</v>
      </c>
      <c r="R12" s="138">
        <f t="shared" si="3"/>
        <v>1.35</v>
      </c>
      <c r="S12" s="138">
        <f t="shared" si="3"/>
        <v>1.29</v>
      </c>
      <c r="T12" s="138">
        <f t="shared" si="3"/>
        <v>1.23</v>
      </c>
      <c r="U12" s="138">
        <f t="shared" si="3"/>
        <v>1.18</v>
      </c>
      <c r="V12" s="138">
        <f t="shared" si="3"/>
        <v>1.13</v>
      </c>
      <c r="W12" s="138">
        <f t="shared" si="3"/>
        <v>1.09</v>
      </c>
      <c r="X12" s="138">
        <f t="shared" si="3"/>
        <v>1.05</v>
      </c>
      <c r="Y12" s="138">
        <f t="shared" si="3"/>
        <v>1.01</v>
      </c>
      <c r="Z12" s="138">
        <f t="shared" si="3"/>
        <v>0.97</v>
      </c>
      <c r="AA12" s="147">
        <f t="shared" si="3"/>
        <v>0.94</v>
      </c>
      <c r="AB12" s="139"/>
      <c r="AC12" s="139"/>
    </row>
    <row r="13" spans="2:29" ht="11.25">
      <c r="B13" s="144">
        <v>6.5</v>
      </c>
      <c r="C13" s="145">
        <f t="shared" si="0"/>
        <v>0.26048711836780614</v>
      </c>
      <c r="D13" s="145">
        <f t="shared" si="1"/>
        <v>0.3318307240354219</v>
      </c>
      <c r="E13" s="138">
        <f t="shared" si="2"/>
        <v>6.64</v>
      </c>
      <c r="F13" s="138">
        <f t="shared" si="2"/>
        <v>4.42</v>
      </c>
      <c r="G13" s="138">
        <f t="shared" si="2"/>
        <v>3.32</v>
      </c>
      <c r="H13" s="138">
        <f t="shared" si="2"/>
        <v>3.02</v>
      </c>
      <c r="I13" s="138">
        <f t="shared" si="2"/>
        <v>2.77</v>
      </c>
      <c r="J13" s="138">
        <f t="shared" si="2"/>
        <v>2.55</v>
      </c>
      <c r="K13" s="138">
        <f t="shared" si="2"/>
        <v>2.37</v>
      </c>
      <c r="L13" s="146">
        <f t="shared" si="2"/>
        <v>2.21</v>
      </c>
      <c r="M13" s="146">
        <f t="shared" si="2"/>
        <v>2.07</v>
      </c>
      <c r="N13" s="146">
        <f t="shared" si="2"/>
        <v>1.95</v>
      </c>
      <c r="O13" s="146">
        <f t="shared" si="3"/>
        <v>1.84</v>
      </c>
      <c r="P13" s="146">
        <f t="shared" si="3"/>
        <v>1.75</v>
      </c>
      <c r="Q13" s="138">
        <f t="shared" si="3"/>
        <v>1.66</v>
      </c>
      <c r="R13" s="138">
        <f t="shared" si="3"/>
        <v>1.58</v>
      </c>
      <c r="S13" s="138">
        <f t="shared" si="3"/>
        <v>1.51</v>
      </c>
      <c r="T13" s="138">
        <f t="shared" si="3"/>
        <v>1.44</v>
      </c>
      <c r="U13" s="138">
        <f t="shared" si="3"/>
        <v>1.38</v>
      </c>
      <c r="V13" s="138">
        <f t="shared" si="3"/>
        <v>1.33</v>
      </c>
      <c r="W13" s="138">
        <f t="shared" si="3"/>
        <v>1.28</v>
      </c>
      <c r="X13" s="138">
        <f t="shared" si="3"/>
        <v>1.23</v>
      </c>
      <c r="Y13" s="138">
        <f t="shared" si="3"/>
        <v>1.19</v>
      </c>
      <c r="Z13" s="138">
        <f t="shared" si="3"/>
        <v>1.14</v>
      </c>
      <c r="AA13" s="147">
        <f t="shared" si="3"/>
        <v>1.11</v>
      </c>
      <c r="AB13" s="139"/>
      <c r="AC13" s="139"/>
    </row>
    <row r="14" spans="2:29" ht="11.25">
      <c r="B14" s="144">
        <v>7</v>
      </c>
      <c r="C14" s="145">
        <f t="shared" si="0"/>
        <v>0.30210340355082854</v>
      </c>
      <c r="D14" s="145">
        <f t="shared" si="1"/>
        <v>0.3848451000647496</v>
      </c>
      <c r="E14" s="138">
        <f t="shared" si="2"/>
        <v>7.7</v>
      </c>
      <c r="F14" s="138">
        <f t="shared" si="2"/>
        <v>5.13</v>
      </c>
      <c r="G14" s="138">
        <f t="shared" si="2"/>
        <v>3.85</v>
      </c>
      <c r="H14" s="138">
        <f t="shared" si="2"/>
        <v>3.5</v>
      </c>
      <c r="I14" s="138">
        <f t="shared" si="2"/>
        <v>3.21</v>
      </c>
      <c r="J14" s="138">
        <f t="shared" si="2"/>
        <v>2.96</v>
      </c>
      <c r="K14" s="138">
        <f t="shared" si="2"/>
        <v>2.75</v>
      </c>
      <c r="L14" s="146">
        <f t="shared" si="2"/>
        <v>2.57</v>
      </c>
      <c r="M14" s="146">
        <f t="shared" si="2"/>
        <v>2.41</v>
      </c>
      <c r="N14" s="146">
        <f t="shared" si="2"/>
        <v>2.26</v>
      </c>
      <c r="O14" s="146">
        <f t="shared" si="3"/>
        <v>2.14</v>
      </c>
      <c r="P14" s="146">
        <f t="shared" si="3"/>
        <v>2.03</v>
      </c>
      <c r="Q14" s="138">
        <f t="shared" si="3"/>
        <v>1.92</v>
      </c>
      <c r="R14" s="138">
        <f t="shared" si="3"/>
        <v>1.83</v>
      </c>
      <c r="S14" s="138">
        <f t="shared" si="3"/>
        <v>1.75</v>
      </c>
      <c r="T14" s="138">
        <f t="shared" si="3"/>
        <v>1.67</v>
      </c>
      <c r="U14" s="138">
        <f t="shared" si="3"/>
        <v>1.6</v>
      </c>
      <c r="V14" s="138">
        <f t="shared" si="3"/>
        <v>1.54</v>
      </c>
      <c r="W14" s="138">
        <f t="shared" si="3"/>
        <v>1.48</v>
      </c>
      <c r="X14" s="138">
        <f t="shared" si="3"/>
        <v>1.43</v>
      </c>
      <c r="Y14" s="138">
        <f t="shared" si="3"/>
        <v>1.37</v>
      </c>
      <c r="Z14" s="138">
        <f t="shared" si="3"/>
        <v>1.33</v>
      </c>
      <c r="AA14" s="147">
        <f t="shared" si="3"/>
        <v>1.28</v>
      </c>
      <c r="AB14" s="139"/>
      <c r="AC14" s="139"/>
    </row>
    <row r="15" spans="2:29" ht="11.25">
      <c r="B15" s="144">
        <v>7.5</v>
      </c>
      <c r="C15" s="145">
        <f t="shared" si="0"/>
        <v>0.34680237652518575</v>
      </c>
      <c r="D15" s="145">
        <f t="shared" si="1"/>
        <v>0.44178646691106466</v>
      </c>
      <c r="E15" s="138">
        <f t="shared" si="2"/>
        <v>8.84</v>
      </c>
      <c r="F15" s="138">
        <f t="shared" si="2"/>
        <v>5.89</v>
      </c>
      <c r="G15" s="138">
        <f t="shared" si="2"/>
        <v>4.42</v>
      </c>
      <c r="H15" s="138">
        <f t="shared" si="2"/>
        <v>4.02</v>
      </c>
      <c r="I15" s="138">
        <f t="shared" si="2"/>
        <v>3.68</v>
      </c>
      <c r="J15" s="138">
        <f t="shared" si="2"/>
        <v>3.4</v>
      </c>
      <c r="K15" s="138">
        <f t="shared" si="2"/>
        <v>3.16</v>
      </c>
      <c r="L15" s="146">
        <f t="shared" si="2"/>
        <v>2.95</v>
      </c>
      <c r="M15" s="146">
        <f t="shared" si="2"/>
        <v>2.76</v>
      </c>
      <c r="N15" s="146">
        <f t="shared" si="2"/>
        <v>2.6</v>
      </c>
      <c r="O15" s="146">
        <f t="shared" si="3"/>
        <v>2.45</v>
      </c>
      <c r="P15" s="146">
        <f t="shared" si="3"/>
        <v>2.33</v>
      </c>
      <c r="Q15" s="138">
        <f t="shared" si="3"/>
        <v>2.21</v>
      </c>
      <c r="R15" s="138">
        <f t="shared" si="3"/>
        <v>2.1</v>
      </c>
      <c r="S15" s="138">
        <f t="shared" si="3"/>
        <v>2.01</v>
      </c>
      <c r="T15" s="138">
        <f t="shared" si="3"/>
        <v>1.92</v>
      </c>
      <c r="U15" s="138">
        <f t="shared" si="3"/>
        <v>1.84</v>
      </c>
      <c r="V15" s="138">
        <f t="shared" si="3"/>
        <v>1.77</v>
      </c>
      <c r="W15" s="138">
        <f t="shared" si="3"/>
        <v>1.7</v>
      </c>
      <c r="X15" s="138">
        <f t="shared" si="3"/>
        <v>1.64</v>
      </c>
      <c r="Y15" s="138">
        <f t="shared" si="3"/>
        <v>1.58</v>
      </c>
      <c r="Z15" s="138">
        <f t="shared" si="3"/>
        <v>1.52</v>
      </c>
      <c r="AA15" s="147">
        <f t="shared" si="3"/>
        <v>1.47</v>
      </c>
      <c r="AB15" s="139"/>
      <c r="AC15" s="139"/>
    </row>
    <row r="16" spans="2:29" ht="11.25">
      <c r="B16" s="144">
        <v>8</v>
      </c>
      <c r="C16" s="145">
        <f t="shared" si="0"/>
        <v>0.394584037290878</v>
      </c>
      <c r="D16" s="145">
        <f t="shared" si="1"/>
        <v>0.5026548245743669</v>
      </c>
      <c r="E16" s="138">
        <f t="shared" si="2"/>
        <v>10.05</v>
      </c>
      <c r="F16" s="138">
        <f t="shared" si="2"/>
        <v>6.7</v>
      </c>
      <c r="G16" s="138">
        <f t="shared" si="2"/>
        <v>5.03</v>
      </c>
      <c r="H16" s="138">
        <f t="shared" si="2"/>
        <v>4.57</v>
      </c>
      <c r="I16" s="138">
        <f t="shared" si="2"/>
        <v>4.19</v>
      </c>
      <c r="J16" s="138">
        <f t="shared" si="2"/>
        <v>3.87</v>
      </c>
      <c r="K16" s="138">
        <f t="shared" si="2"/>
        <v>3.59</v>
      </c>
      <c r="L16" s="146">
        <f t="shared" si="2"/>
        <v>3.35</v>
      </c>
      <c r="M16" s="146">
        <f t="shared" si="2"/>
        <v>3.14</v>
      </c>
      <c r="N16" s="146">
        <f t="shared" si="2"/>
        <v>2.96</v>
      </c>
      <c r="O16" s="146">
        <f t="shared" si="3"/>
        <v>2.79</v>
      </c>
      <c r="P16" s="146">
        <f t="shared" si="3"/>
        <v>2.65</v>
      </c>
      <c r="Q16" s="138">
        <f t="shared" si="3"/>
        <v>2.51</v>
      </c>
      <c r="R16" s="138">
        <f t="shared" si="3"/>
        <v>2.39</v>
      </c>
      <c r="S16" s="138">
        <f t="shared" si="3"/>
        <v>2.28</v>
      </c>
      <c r="T16" s="138">
        <f t="shared" si="3"/>
        <v>2.19</v>
      </c>
      <c r="U16" s="138">
        <f t="shared" si="3"/>
        <v>2.09</v>
      </c>
      <c r="V16" s="138">
        <f t="shared" si="3"/>
        <v>2.01</v>
      </c>
      <c r="W16" s="138">
        <f t="shared" si="3"/>
        <v>1.93</v>
      </c>
      <c r="X16" s="138">
        <f t="shared" si="3"/>
        <v>1.86</v>
      </c>
      <c r="Y16" s="138">
        <f t="shared" si="3"/>
        <v>1.8</v>
      </c>
      <c r="Z16" s="138">
        <f t="shared" si="3"/>
        <v>1.73</v>
      </c>
      <c r="AA16" s="147">
        <f t="shared" si="3"/>
        <v>1.68</v>
      </c>
      <c r="AB16" s="139"/>
      <c r="AC16" s="139"/>
    </row>
    <row r="17" spans="2:29" ht="11.25">
      <c r="B17" s="144">
        <v>8.5</v>
      </c>
      <c r="C17" s="145">
        <f t="shared" si="0"/>
        <v>0.4454483858479053</v>
      </c>
      <c r="D17" s="145">
        <f t="shared" si="1"/>
        <v>0.5674501730546563</v>
      </c>
      <c r="E17" s="138">
        <f t="shared" si="2"/>
        <v>11.35</v>
      </c>
      <c r="F17" s="138">
        <f t="shared" si="2"/>
        <v>7.57</v>
      </c>
      <c r="G17" s="138">
        <f t="shared" si="2"/>
        <v>5.67</v>
      </c>
      <c r="H17" s="138">
        <f t="shared" si="2"/>
        <v>5.16</v>
      </c>
      <c r="I17" s="138">
        <f t="shared" si="2"/>
        <v>4.73</v>
      </c>
      <c r="J17" s="138">
        <f t="shared" si="2"/>
        <v>4.37</v>
      </c>
      <c r="K17" s="138">
        <f t="shared" si="2"/>
        <v>4.05</v>
      </c>
      <c r="L17" s="146">
        <f t="shared" si="2"/>
        <v>3.78</v>
      </c>
      <c r="M17" s="146">
        <f t="shared" si="2"/>
        <v>3.55</v>
      </c>
      <c r="N17" s="146">
        <f t="shared" si="2"/>
        <v>3.34</v>
      </c>
      <c r="O17" s="146">
        <f t="shared" si="3"/>
        <v>3.15</v>
      </c>
      <c r="P17" s="146">
        <f t="shared" si="3"/>
        <v>2.99</v>
      </c>
      <c r="Q17" s="138">
        <f t="shared" si="3"/>
        <v>2.84</v>
      </c>
      <c r="R17" s="138">
        <f t="shared" si="3"/>
        <v>2.7</v>
      </c>
      <c r="S17" s="138">
        <f t="shared" si="3"/>
        <v>2.58</v>
      </c>
      <c r="T17" s="138">
        <f t="shared" si="3"/>
        <v>2.47</v>
      </c>
      <c r="U17" s="138">
        <f t="shared" si="3"/>
        <v>2.36</v>
      </c>
      <c r="V17" s="138">
        <f t="shared" si="3"/>
        <v>2.27</v>
      </c>
      <c r="W17" s="138">
        <f t="shared" si="3"/>
        <v>2.18</v>
      </c>
      <c r="X17" s="138">
        <f t="shared" si="3"/>
        <v>2.1</v>
      </c>
      <c r="Y17" s="138">
        <f t="shared" si="3"/>
        <v>2.03</v>
      </c>
      <c r="Z17" s="138">
        <f t="shared" si="3"/>
        <v>1.96</v>
      </c>
      <c r="AA17" s="147">
        <f t="shared" si="3"/>
        <v>1.89</v>
      </c>
      <c r="AB17" s="139"/>
      <c r="AC17" s="139"/>
    </row>
    <row r="18" spans="2:29" ht="11.25">
      <c r="B18" s="144">
        <v>9</v>
      </c>
      <c r="C18" s="145">
        <f t="shared" si="0"/>
        <v>0.4993954221962674</v>
      </c>
      <c r="D18" s="145">
        <f t="shared" si="1"/>
        <v>0.6361725123519332</v>
      </c>
      <c r="E18" s="138">
        <f aca="true" t="shared" si="4" ref="E18:N30">ROUND(1000/E$5*$D18,2)</f>
        <v>12.72</v>
      </c>
      <c r="F18" s="138">
        <f t="shared" si="4"/>
        <v>8.48</v>
      </c>
      <c r="G18" s="138">
        <f t="shared" si="4"/>
        <v>6.36</v>
      </c>
      <c r="H18" s="138">
        <f t="shared" si="4"/>
        <v>5.78</v>
      </c>
      <c r="I18" s="138">
        <f t="shared" si="4"/>
        <v>5.3</v>
      </c>
      <c r="J18" s="138">
        <f t="shared" si="4"/>
        <v>4.89</v>
      </c>
      <c r="K18" s="138">
        <f t="shared" si="4"/>
        <v>4.54</v>
      </c>
      <c r="L18" s="146">
        <f t="shared" si="4"/>
        <v>4.24</v>
      </c>
      <c r="M18" s="146">
        <f t="shared" si="4"/>
        <v>3.98</v>
      </c>
      <c r="N18" s="146">
        <f t="shared" si="4"/>
        <v>3.74</v>
      </c>
      <c r="O18" s="146">
        <f aca="true" t="shared" si="5" ref="O18:AA30">ROUND(1000/O$5*$D18,2)</f>
        <v>3.53</v>
      </c>
      <c r="P18" s="146">
        <f t="shared" si="5"/>
        <v>3.35</v>
      </c>
      <c r="Q18" s="138">
        <f t="shared" si="5"/>
        <v>3.18</v>
      </c>
      <c r="R18" s="138">
        <f t="shared" si="5"/>
        <v>3.03</v>
      </c>
      <c r="S18" s="138">
        <f t="shared" si="5"/>
        <v>2.89</v>
      </c>
      <c r="T18" s="138">
        <f t="shared" si="5"/>
        <v>2.77</v>
      </c>
      <c r="U18" s="138">
        <f t="shared" si="5"/>
        <v>2.65</v>
      </c>
      <c r="V18" s="138">
        <f t="shared" si="5"/>
        <v>2.54</v>
      </c>
      <c r="W18" s="138">
        <f t="shared" si="5"/>
        <v>2.45</v>
      </c>
      <c r="X18" s="138">
        <f t="shared" si="5"/>
        <v>2.36</v>
      </c>
      <c r="Y18" s="138">
        <f t="shared" si="5"/>
        <v>2.27</v>
      </c>
      <c r="Z18" s="138">
        <f t="shared" si="5"/>
        <v>2.19</v>
      </c>
      <c r="AA18" s="147">
        <f t="shared" si="5"/>
        <v>2.12</v>
      </c>
      <c r="AB18" s="139"/>
      <c r="AC18" s="139"/>
    </row>
    <row r="19" spans="2:29" ht="11.25">
      <c r="B19" s="144">
        <v>9.5</v>
      </c>
      <c r="C19" s="145">
        <f t="shared" si="0"/>
        <v>0.5564251463359646</v>
      </c>
      <c r="D19" s="145">
        <f t="shared" si="1"/>
        <v>0.7088218424661971</v>
      </c>
      <c r="E19" s="138">
        <f t="shared" si="4"/>
        <v>14.18</v>
      </c>
      <c r="F19" s="138">
        <f t="shared" si="4"/>
        <v>9.45</v>
      </c>
      <c r="G19" s="138">
        <f t="shared" si="4"/>
        <v>7.09</v>
      </c>
      <c r="H19" s="138">
        <f t="shared" si="4"/>
        <v>6.44</v>
      </c>
      <c r="I19" s="138">
        <f t="shared" si="4"/>
        <v>5.91</v>
      </c>
      <c r="J19" s="138">
        <f t="shared" si="4"/>
        <v>5.45</v>
      </c>
      <c r="K19" s="138">
        <f t="shared" si="4"/>
        <v>5.06</v>
      </c>
      <c r="L19" s="146">
        <f t="shared" si="4"/>
        <v>4.73</v>
      </c>
      <c r="M19" s="146">
        <f t="shared" si="4"/>
        <v>4.43</v>
      </c>
      <c r="N19" s="146">
        <f t="shared" si="4"/>
        <v>4.17</v>
      </c>
      <c r="O19" s="146">
        <f t="shared" si="5"/>
        <v>3.94</v>
      </c>
      <c r="P19" s="146">
        <f t="shared" si="5"/>
        <v>3.73</v>
      </c>
      <c r="Q19" s="138">
        <f t="shared" si="5"/>
        <v>3.54</v>
      </c>
      <c r="R19" s="138">
        <f t="shared" si="5"/>
        <v>3.38</v>
      </c>
      <c r="S19" s="138">
        <f t="shared" si="5"/>
        <v>3.22</v>
      </c>
      <c r="T19" s="138">
        <f t="shared" si="5"/>
        <v>3.08</v>
      </c>
      <c r="U19" s="138">
        <f t="shared" si="5"/>
        <v>2.95</v>
      </c>
      <c r="V19" s="138">
        <f t="shared" si="5"/>
        <v>2.84</v>
      </c>
      <c r="W19" s="138">
        <f t="shared" si="5"/>
        <v>2.73</v>
      </c>
      <c r="X19" s="138">
        <f t="shared" si="5"/>
        <v>2.63</v>
      </c>
      <c r="Y19" s="138">
        <f t="shared" si="5"/>
        <v>2.53</v>
      </c>
      <c r="Z19" s="138">
        <f t="shared" si="5"/>
        <v>2.44</v>
      </c>
      <c r="AA19" s="147">
        <f t="shared" si="5"/>
        <v>2.36</v>
      </c>
      <c r="AB19" s="139"/>
      <c r="AC19" s="139"/>
    </row>
    <row r="20" spans="2:28" ht="11.25">
      <c r="B20" s="144">
        <v>10</v>
      </c>
      <c r="C20" s="145">
        <f t="shared" si="0"/>
        <v>0.6165375582669969</v>
      </c>
      <c r="D20" s="145">
        <f t="shared" si="1"/>
        <v>0.7853981633974483</v>
      </c>
      <c r="E20" s="138">
        <f t="shared" si="4"/>
        <v>15.71</v>
      </c>
      <c r="F20" s="138">
        <f t="shared" si="4"/>
        <v>10.47</v>
      </c>
      <c r="G20" s="138">
        <f t="shared" si="4"/>
        <v>7.85</v>
      </c>
      <c r="H20" s="138">
        <f t="shared" si="4"/>
        <v>7.14</v>
      </c>
      <c r="I20" s="138">
        <f t="shared" si="4"/>
        <v>6.54</v>
      </c>
      <c r="J20" s="138">
        <f t="shared" si="4"/>
        <v>6.04</v>
      </c>
      <c r="K20" s="138">
        <f t="shared" si="4"/>
        <v>5.61</v>
      </c>
      <c r="L20" s="146">
        <f t="shared" si="4"/>
        <v>5.24</v>
      </c>
      <c r="M20" s="146">
        <f t="shared" si="4"/>
        <v>4.91</v>
      </c>
      <c r="N20" s="146">
        <f t="shared" si="4"/>
        <v>4.62</v>
      </c>
      <c r="O20" s="146">
        <f t="shared" si="5"/>
        <v>4.36</v>
      </c>
      <c r="P20" s="146">
        <f t="shared" si="5"/>
        <v>4.13</v>
      </c>
      <c r="Q20" s="138">
        <f t="shared" si="5"/>
        <v>3.93</v>
      </c>
      <c r="R20" s="138">
        <f t="shared" si="5"/>
        <v>3.74</v>
      </c>
      <c r="S20" s="138">
        <f t="shared" si="5"/>
        <v>3.57</v>
      </c>
      <c r="T20" s="138">
        <f t="shared" si="5"/>
        <v>3.41</v>
      </c>
      <c r="U20" s="138">
        <f t="shared" si="5"/>
        <v>3.27</v>
      </c>
      <c r="V20" s="138">
        <f t="shared" si="5"/>
        <v>3.14</v>
      </c>
      <c r="W20" s="138">
        <f t="shared" si="5"/>
        <v>3.02</v>
      </c>
      <c r="X20" s="138">
        <f t="shared" si="5"/>
        <v>2.91</v>
      </c>
      <c r="Y20" s="138">
        <f t="shared" si="5"/>
        <v>2.8</v>
      </c>
      <c r="Z20" s="138">
        <f t="shared" si="5"/>
        <v>2.71</v>
      </c>
      <c r="AA20" s="147">
        <f t="shared" si="5"/>
        <v>2.62</v>
      </c>
      <c r="AB20" s="148"/>
    </row>
    <row r="21" spans="2:28" ht="11.25">
      <c r="B21" s="144">
        <v>10.5</v>
      </c>
      <c r="C21" s="145">
        <f t="shared" si="0"/>
        <v>0.6797326579893642</v>
      </c>
      <c r="D21" s="145">
        <f t="shared" si="1"/>
        <v>0.8659014751456867</v>
      </c>
      <c r="E21" s="138">
        <f t="shared" si="4"/>
        <v>17.32</v>
      </c>
      <c r="F21" s="138">
        <f t="shared" si="4"/>
        <v>11.55</v>
      </c>
      <c r="G21" s="138">
        <f t="shared" si="4"/>
        <v>8.66</v>
      </c>
      <c r="H21" s="138">
        <f t="shared" si="4"/>
        <v>7.87</v>
      </c>
      <c r="I21" s="138">
        <f t="shared" si="4"/>
        <v>7.22</v>
      </c>
      <c r="J21" s="138">
        <f t="shared" si="4"/>
        <v>6.66</v>
      </c>
      <c r="K21" s="138">
        <f t="shared" si="4"/>
        <v>6.19</v>
      </c>
      <c r="L21" s="146">
        <f t="shared" si="4"/>
        <v>5.77</v>
      </c>
      <c r="M21" s="146">
        <f t="shared" si="4"/>
        <v>5.41</v>
      </c>
      <c r="N21" s="146">
        <f t="shared" si="4"/>
        <v>5.09</v>
      </c>
      <c r="O21" s="146">
        <f t="shared" si="5"/>
        <v>4.81</v>
      </c>
      <c r="P21" s="146">
        <f t="shared" si="5"/>
        <v>4.56</v>
      </c>
      <c r="Q21" s="138">
        <f t="shared" si="5"/>
        <v>4.33</v>
      </c>
      <c r="R21" s="138">
        <f t="shared" si="5"/>
        <v>4.12</v>
      </c>
      <c r="S21" s="138">
        <f t="shared" si="5"/>
        <v>3.94</v>
      </c>
      <c r="T21" s="138">
        <f t="shared" si="5"/>
        <v>3.76</v>
      </c>
      <c r="U21" s="138">
        <f t="shared" si="5"/>
        <v>3.61</v>
      </c>
      <c r="V21" s="138">
        <f t="shared" si="5"/>
        <v>3.46</v>
      </c>
      <c r="W21" s="138">
        <f t="shared" si="5"/>
        <v>3.33</v>
      </c>
      <c r="X21" s="138">
        <f t="shared" si="5"/>
        <v>3.21</v>
      </c>
      <c r="Y21" s="138">
        <f t="shared" si="5"/>
        <v>3.09</v>
      </c>
      <c r="Z21" s="138">
        <f t="shared" si="5"/>
        <v>2.99</v>
      </c>
      <c r="AA21" s="147">
        <f t="shared" si="5"/>
        <v>2.89</v>
      </c>
      <c r="AB21" s="148"/>
    </row>
    <row r="22" spans="2:28" ht="11.25">
      <c r="B22" s="144">
        <v>11</v>
      </c>
      <c r="C22" s="145">
        <f t="shared" si="0"/>
        <v>0.7460104455030662</v>
      </c>
      <c r="D22" s="145">
        <f t="shared" si="1"/>
        <v>0.9503317777109126</v>
      </c>
      <c r="E22" s="138">
        <f t="shared" si="4"/>
        <v>19.01</v>
      </c>
      <c r="F22" s="138">
        <f t="shared" si="4"/>
        <v>12.67</v>
      </c>
      <c r="G22" s="138">
        <f t="shared" si="4"/>
        <v>9.5</v>
      </c>
      <c r="H22" s="138">
        <f t="shared" si="4"/>
        <v>8.64</v>
      </c>
      <c r="I22" s="138">
        <f t="shared" si="4"/>
        <v>7.92</v>
      </c>
      <c r="J22" s="138">
        <f t="shared" si="4"/>
        <v>7.31</v>
      </c>
      <c r="K22" s="138">
        <f t="shared" si="4"/>
        <v>6.79</v>
      </c>
      <c r="L22" s="146">
        <f t="shared" si="4"/>
        <v>6.34</v>
      </c>
      <c r="M22" s="146">
        <f t="shared" si="4"/>
        <v>5.94</v>
      </c>
      <c r="N22" s="146">
        <f t="shared" si="4"/>
        <v>5.59</v>
      </c>
      <c r="O22" s="146">
        <f t="shared" si="5"/>
        <v>5.28</v>
      </c>
      <c r="P22" s="146">
        <f t="shared" si="5"/>
        <v>5</v>
      </c>
      <c r="Q22" s="138">
        <f t="shared" si="5"/>
        <v>4.75</v>
      </c>
      <c r="R22" s="138">
        <f t="shared" si="5"/>
        <v>4.53</v>
      </c>
      <c r="S22" s="138">
        <f t="shared" si="5"/>
        <v>4.32</v>
      </c>
      <c r="T22" s="138">
        <f t="shared" si="5"/>
        <v>4.13</v>
      </c>
      <c r="U22" s="138">
        <f t="shared" si="5"/>
        <v>3.96</v>
      </c>
      <c r="V22" s="138">
        <f t="shared" si="5"/>
        <v>3.8</v>
      </c>
      <c r="W22" s="138">
        <f t="shared" si="5"/>
        <v>3.66</v>
      </c>
      <c r="X22" s="138">
        <f t="shared" si="5"/>
        <v>3.52</v>
      </c>
      <c r="Y22" s="138">
        <f t="shared" si="5"/>
        <v>3.39</v>
      </c>
      <c r="Z22" s="138">
        <f t="shared" si="5"/>
        <v>3.28</v>
      </c>
      <c r="AA22" s="147">
        <f t="shared" si="5"/>
        <v>3.17</v>
      </c>
      <c r="AB22" s="148"/>
    </row>
    <row r="23" spans="2:27" ht="11.25">
      <c r="B23" s="144">
        <v>11.5</v>
      </c>
      <c r="C23" s="145">
        <f t="shared" si="0"/>
        <v>0.8153709208081034</v>
      </c>
      <c r="D23" s="145">
        <f t="shared" si="1"/>
        <v>1.0386890710931251</v>
      </c>
      <c r="E23" s="138">
        <f t="shared" si="4"/>
        <v>20.77</v>
      </c>
      <c r="F23" s="138">
        <f t="shared" si="4"/>
        <v>13.85</v>
      </c>
      <c r="G23" s="138">
        <f t="shared" si="4"/>
        <v>10.39</v>
      </c>
      <c r="H23" s="138">
        <f t="shared" si="4"/>
        <v>9.44</v>
      </c>
      <c r="I23" s="138">
        <f t="shared" si="4"/>
        <v>8.66</v>
      </c>
      <c r="J23" s="138">
        <f t="shared" si="4"/>
        <v>7.99</v>
      </c>
      <c r="K23" s="138">
        <f t="shared" si="4"/>
        <v>7.42</v>
      </c>
      <c r="L23" s="146">
        <f t="shared" si="4"/>
        <v>6.92</v>
      </c>
      <c r="M23" s="146">
        <f t="shared" si="4"/>
        <v>6.49</v>
      </c>
      <c r="N23" s="146">
        <f t="shared" si="4"/>
        <v>6.11</v>
      </c>
      <c r="O23" s="146">
        <f t="shared" si="5"/>
        <v>5.77</v>
      </c>
      <c r="P23" s="146">
        <f t="shared" si="5"/>
        <v>5.47</v>
      </c>
      <c r="Q23" s="138">
        <f t="shared" si="5"/>
        <v>5.19</v>
      </c>
      <c r="R23" s="138">
        <f t="shared" si="5"/>
        <v>4.95</v>
      </c>
      <c r="S23" s="138">
        <f t="shared" si="5"/>
        <v>4.72</v>
      </c>
      <c r="T23" s="138">
        <f t="shared" si="5"/>
        <v>4.52</v>
      </c>
      <c r="U23" s="138">
        <f t="shared" si="5"/>
        <v>4.33</v>
      </c>
      <c r="V23" s="138">
        <f t="shared" si="5"/>
        <v>4.15</v>
      </c>
      <c r="W23" s="138">
        <f t="shared" si="5"/>
        <v>3.99</v>
      </c>
      <c r="X23" s="138">
        <f t="shared" si="5"/>
        <v>3.85</v>
      </c>
      <c r="Y23" s="138">
        <f t="shared" si="5"/>
        <v>3.71</v>
      </c>
      <c r="Z23" s="138">
        <f t="shared" si="5"/>
        <v>3.58</v>
      </c>
      <c r="AA23" s="147">
        <f t="shared" si="5"/>
        <v>3.46</v>
      </c>
    </row>
    <row r="24" spans="2:27" ht="11.25">
      <c r="B24" s="144">
        <v>12</v>
      </c>
      <c r="C24" s="145">
        <f t="shared" si="0"/>
        <v>0.8878140839044755</v>
      </c>
      <c r="D24" s="145">
        <f t="shared" si="1"/>
        <v>1.1309733552923256</v>
      </c>
      <c r="E24" s="138">
        <f t="shared" si="4"/>
        <v>22.62</v>
      </c>
      <c r="F24" s="138">
        <f t="shared" si="4"/>
        <v>15.08</v>
      </c>
      <c r="G24" s="138">
        <f t="shared" si="4"/>
        <v>11.31</v>
      </c>
      <c r="H24" s="138">
        <f t="shared" si="4"/>
        <v>10.28</v>
      </c>
      <c r="I24" s="138">
        <f t="shared" si="4"/>
        <v>9.42</v>
      </c>
      <c r="J24" s="138">
        <f t="shared" si="4"/>
        <v>8.7</v>
      </c>
      <c r="K24" s="138">
        <f t="shared" si="4"/>
        <v>8.08</v>
      </c>
      <c r="L24" s="146">
        <f t="shared" si="4"/>
        <v>7.54</v>
      </c>
      <c r="M24" s="146">
        <f t="shared" si="4"/>
        <v>7.07</v>
      </c>
      <c r="N24" s="146">
        <f t="shared" si="4"/>
        <v>6.65</v>
      </c>
      <c r="O24" s="146">
        <f t="shared" si="5"/>
        <v>6.28</v>
      </c>
      <c r="P24" s="146">
        <f t="shared" si="5"/>
        <v>5.95</v>
      </c>
      <c r="Q24" s="138">
        <f t="shared" si="5"/>
        <v>5.65</v>
      </c>
      <c r="R24" s="138">
        <f t="shared" si="5"/>
        <v>5.39</v>
      </c>
      <c r="S24" s="138">
        <f t="shared" si="5"/>
        <v>5.14</v>
      </c>
      <c r="T24" s="138">
        <f t="shared" si="5"/>
        <v>4.92</v>
      </c>
      <c r="U24" s="138">
        <f t="shared" si="5"/>
        <v>4.71</v>
      </c>
      <c r="V24" s="138">
        <f t="shared" si="5"/>
        <v>4.52</v>
      </c>
      <c r="W24" s="138">
        <f t="shared" si="5"/>
        <v>4.35</v>
      </c>
      <c r="X24" s="138">
        <f t="shared" si="5"/>
        <v>4.19</v>
      </c>
      <c r="Y24" s="138">
        <f t="shared" si="5"/>
        <v>4.04</v>
      </c>
      <c r="Z24" s="138">
        <f t="shared" si="5"/>
        <v>3.9</v>
      </c>
      <c r="AA24" s="147">
        <f t="shared" si="5"/>
        <v>3.77</v>
      </c>
    </row>
    <row r="25" spans="2:27" ht="11.25">
      <c r="B25" s="144"/>
      <c r="C25" s="145">
        <f t="shared" si="0"/>
        <v>0</v>
      </c>
      <c r="D25" s="145">
        <f t="shared" si="1"/>
        <v>0</v>
      </c>
      <c r="E25" s="138">
        <f t="shared" si="4"/>
        <v>0</v>
      </c>
      <c r="F25" s="138">
        <f t="shared" si="4"/>
        <v>0</v>
      </c>
      <c r="G25" s="138">
        <f t="shared" si="4"/>
        <v>0</v>
      </c>
      <c r="H25" s="138">
        <f t="shared" si="4"/>
        <v>0</v>
      </c>
      <c r="I25" s="138">
        <f t="shared" si="4"/>
        <v>0</v>
      </c>
      <c r="J25" s="138">
        <f t="shared" si="4"/>
        <v>0</v>
      </c>
      <c r="K25" s="138">
        <f t="shared" si="4"/>
        <v>0</v>
      </c>
      <c r="L25" s="146">
        <f t="shared" si="4"/>
        <v>0</v>
      </c>
      <c r="M25" s="146">
        <f t="shared" si="4"/>
        <v>0</v>
      </c>
      <c r="N25" s="146">
        <f t="shared" si="4"/>
        <v>0</v>
      </c>
      <c r="O25" s="146">
        <f t="shared" si="5"/>
        <v>0</v>
      </c>
      <c r="P25" s="146">
        <f t="shared" si="5"/>
        <v>0</v>
      </c>
      <c r="Q25" s="138">
        <f t="shared" si="5"/>
        <v>0</v>
      </c>
      <c r="R25" s="138">
        <f t="shared" si="5"/>
        <v>0</v>
      </c>
      <c r="S25" s="138">
        <f t="shared" si="5"/>
        <v>0</v>
      </c>
      <c r="T25" s="138">
        <f t="shared" si="5"/>
        <v>0</v>
      </c>
      <c r="U25" s="138">
        <f t="shared" si="5"/>
        <v>0</v>
      </c>
      <c r="V25" s="138">
        <f t="shared" si="5"/>
        <v>0</v>
      </c>
      <c r="W25" s="138">
        <f t="shared" si="5"/>
        <v>0</v>
      </c>
      <c r="X25" s="138">
        <f t="shared" si="5"/>
        <v>0</v>
      </c>
      <c r="Y25" s="138">
        <f t="shared" si="5"/>
        <v>0</v>
      </c>
      <c r="Z25" s="138">
        <f t="shared" si="5"/>
        <v>0</v>
      </c>
      <c r="AA25" s="147">
        <f t="shared" si="5"/>
        <v>0</v>
      </c>
    </row>
    <row r="26" spans="2:27" ht="11.25">
      <c r="B26" s="144"/>
      <c r="C26" s="145">
        <f t="shared" si="0"/>
        <v>0</v>
      </c>
      <c r="D26" s="145">
        <f t="shared" si="1"/>
        <v>0</v>
      </c>
      <c r="E26" s="138">
        <f t="shared" si="4"/>
        <v>0</v>
      </c>
      <c r="F26" s="138">
        <f t="shared" si="4"/>
        <v>0</v>
      </c>
      <c r="G26" s="138">
        <f t="shared" si="4"/>
        <v>0</v>
      </c>
      <c r="H26" s="138">
        <f t="shared" si="4"/>
        <v>0</v>
      </c>
      <c r="I26" s="138">
        <f t="shared" si="4"/>
        <v>0</v>
      </c>
      <c r="J26" s="138">
        <f t="shared" si="4"/>
        <v>0</v>
      </c>
      <c r="K26" s="138">
        <f t="shared" si="4"/>
        <v>0</v>
      </c>
      <c r="L26" s="146">
        <f t="shared" si="4"/>
        <v>0</v>
      </c>
      <c r="M26" s="146">
        <f t="shared" si="4"/>
        <v>0</v>
      </c>
      <c r="N26" s="146">
        <f t="shared" si="4"/>
        <v>0</v>
      </c>
      <c r="O26" s="146">
        <f t="shared" si="5"/>
        <v>0</v>
      </c>
      <c r="P26" s="146">
        <f t="shared" si="5"/>
        <v>0</v>
      </c>
      <c r="Q26" s="138">
        <f t="shared" si="5"/>
        <v>0</v>
      </c>
      <c r="R26" s="138">
        <f t="shared" si="5"/>
        <v>0</v>
      </c>
      <c r="S26" s="138">
        <f t="shared" si="5"/>
        <v>0</v>
      </c>
      <c r="T26" s="138">
        <f t="shared" si="5"/>
        <v>0</v>
      </c>
      <c r="U26" s="138">
        <f t="shared" si="5"/>
        <v>0</v>
      </c>
      <c r="V26" s="138">
        <f t="shared" si="5"/>
        <v>0</v>
      </c>
      <c r="W26" s="138">
        <f t="shared" si="5"/>
        <v>0</v>
      </c>
      <c r="X26" s="138">
        <f t="shared" si="5"/>
        <v>0</v>
      </c>
      <c r="Y26" s="138">
        <f t="shared" si="5"/>
        <v>0</v>
      </c>
      <c r="Z26" s="138">
        <f t="shared" si="5"/>
        <v>0</v>
      </c>
      <c r="AA26" s="147">
        <f t="shared" si="5"/>
        <v>0</v>
      </c>
    </row>
    <row r="27" spans="2:27" ht="11.25">
      <c r="B27" s="144"/>
      <c r="C27" s="145">
        <f t="shared" si="0"/>
        <v>0</v>
      </c>
      <c r="D27" s="145">
        <f t="shared" si="1"/>
        <v>0</v>
      </c>
      <c r="E27" s="138">
        <f t="shared" si="4"/>
        <v>0</v>
      </c>
      <c r="F27" s="138">
        <f t="shared" si="4"/>
        <v>0</v>
      </c>
      <c r="G27" s="138">
        <f t="shared" si="4"/>
        <v>0</v>
      </c>
      <c r="H27" s="138">
        <f t="shared" si="4"/>
        <v>0</v>
      </c>
      <c r="I27" s="138">
        <f t="shared" si="4"/>
        <v>0</v>
      </c>
      <c r="J27" s="138">
        <f t="shared" si="4"/>
        <v>0</v>
      </c>
      <c r="K27" s="138">
        <f t="shared" si="4"/>
        <v>0</v>
      </c>
      <c r="L27" s="146">
        <f t="shared" si="4"/>
        <v>0</v>
      </c>
      <c r="M27" s="146">
        <f t="shared" si="4"/>
        <v>0</v>
      </c>
      <c r="N27" s="146">
        <f t="shared" si="4"/>
        <v>0</v>
      </c>
      <c r="O27" s="146">
        <f t="shared" si="5"/>
        <v>0</v>
      </c>
      <c r="P27" s="146">
        <f t="shared" si="5"/>
        <v>0</v>
      </c>
      <c r="Q27" s="138">
        <f t="shared" si="5"/>
        <v>0</v>
      </c>
      <c r="R27" s="138">
        <f t="shared" si="5"/>
        <v>0</v>
      </c>
      <c r="S27" s="138">
        <f t="shared" si="5"/>
        <v>0</v>
      </c>
      <c r="T27" s="138">
        <f t="shared" si="5"/>
        <v>0</v>
      </c>
      <c r="U27" s="138">
        <f t="shared" si="5"/>
        <v>0</v>
      </c>
      <c r="V27" s="138">
        <f t="shared" si="5"/>
        <v>0</v>
      </c>
      <c r="W27" s="138">
        <f t="shared" si="5"/>
        <v>0</v>
      </c>
      <c r="X27" s="138">
        <f t="shared" si="5"/>
        <v>0</v>
      </c>
      <c r="Y27" s="138">
        <f t="shared" si="5"/>
        <v>0</v>
      </c>
      <c r="Z27" s="138">
        <f t="shared" si="5"/>
        <v>0</v>
      </c>
      <c r="AA27" s="147">
        <f t="shared" si="5"/>
        <v>0</v>
      </c>
    </row>
    <row r="28" spans="2:27" ht="11.25">
      <c r="B28" s="144"/>
      <c r="C28" s="145">
        <f t="shared" si="0"/>
        <v>0</v>
      </c>
      <c r="D28" s="145">
        <f t="shared" si="1"/>
        <v>0</v>
      </c>
      <c r="E28" s="138">
        <f t="shared" si="4"/>
        <v>0</v>
      </c>
      <c r="F28" s="138">
        <f t="shared" si="4"/>
        <v>0</v>
      </c>
      <c r="G28" s="138">
        <f t="shared" si="4"/>
        <v>0</v>
      </c>
      <c r="H28" s="138">
        <f t="shared" si="4"/>
        <v>0</v>
      </c>
      <c r="I28" s="138">
        <f t="shared" si="4"/>
        <v>0</v>
      </c>
      <c r="J28" s="138">
        <f t="shared" si="4"/>
        <v>0</v>
      </c>
      <c r="K28" s="138">
        <f t="shared" si="4"/>
        <v>0</v>
      </c>
      <c r="L28" s="146">
        <f t="shared" si="4"/>
        <v>0</v>
      </c>
      <c r="M28" s="146">
        <f t="shared" si="4"/>
        <v>0</v>
      </c>
      <c r="N28" s="146">
        <f t="shared" si="4"/>
        <v>0</v>
      </c>
      <c r="O28" s="146">
        <f t="shared" si="5"/>
        <v>0</v>
      </c>
      <c r="P28" s="146">
        <f t="shared" si="5"/>
        <v>0</v>
      </c>
      <c r="Q28" s="138">
        <f t="shared" si="5"/>
        <v>0</v>
      </c>
      <c r="R28" s="138">
        <f t="shared" si="5"/>
        <v>0</v>
      </c>
      <c r="S28" s="138">
        <f t="shared" si="5"/>
        <v>0</v>
      </c>
      <c r="T28" s="138">
        <f t="shared" si="5"/>
        <v>0</v>
      </c>
      <c r="U28" s="138">
        <f t="shared" si="5"/>
        <v>0</v>
      </c>
      <c r="V28" s="138">
        <f t="shared" si="5"/>
        <v>0</v>
      </c>
      <c r="W28" s="138">
        <f t="shared" si="5"/>
        <v>0</v>
      </c>
      <c r="X28" s="138">
        <f t="shared" si="5"/>
        <v>0</v>
      </c>
      <c r="Y28" s="138">
        <f t="shared" si="5"/>
        <v>0</v>
      </c>
      <c r="Z28" s="138">
        <f t="shared" si="5"/>
        <v>0</v>
      </c>
      <c r="AA28" s="147">
        <f t="shared" si="5"/>
        <v>0</v>
      </c>
    </row>
    <row r="29" spans="2:27" ht="11.25">
      <c r="B29" s="144"/>
      <c r="C29" s="145">
        <f t="shared" si="0"/>
        <v>0</v>
      </c>
      <c r="D29" s="145">
        <f t="shared" si="1"/>
        <v>0</v>
      </c>
      <c r="E29" s="138">
        <f t="shared" si="4"/>
        <v>0</v>
      </c>
      <c r="F29" s="138">
        <f t="shared" si="4"/>
        <v>0</v>
      </c>
      <c r="G29" s="138">
        <f t="shared" si="4"/>
        <v>0</v>
      </c>
      <c r="H29" s="138">
        <f t="shared" si="4"/>
        <v>0</v>
      </c>
      <c r="I29" s="138">
        <f t="shared" si="4"/>
        <v>0</v>
      </c>
      <c r="J29" s="138">
        <f t="shared" si="4"/>
        <v>0</v>
      </c>
      <c r="K29" s="138">
        <f t="shared" si="4"/>
        <v>0</v>
      </c>
      <c r="L29" s="146">
        <f t="shared" si="4"/>
        <v>0</v>
      </c>
      <c r="M29" s="146">
        <f t="shared" si="4"/>
        <v>0</v>
      </c>
      <c r="N29" s="146">
        <f t="shared" si="4"/>
        <v>0</v>
      </c>
      <c r="O29" s="146">
        <f t="shared" si="5"/>
        <v>0</v>
      </c>
      <c r="P29" s="146">
        <f t="shared" si="5"/>
        <v>0</v>
      </c>
      <c r="Q29" s="138">
        <f t="shared" si="5"/>
        <v>0</v>
      </c>
      <c r="R29" s="138">
        <f t="shared" si="5"/>
        <v>0</v>
      </c>
      <c r="S29" s="138">
        <f t="shared" si="5"/>
        <v>0</v>
      </c>
      <c r="T29" s="138">
        <f t="shared" si="5"/>
        <v>0</v>
      </c>
      <c r="U29" s="138">
        <f t="shared" si="5"/>
        <v>0</v>
      </c>
      <c r="V29" s="138">
        <f t="shared" si="5"/>
        <v>0</v>
      </c>
      <c r="W29" s="138">
        <f t="shared" si="5"/>
        <v>0</v>
      </c>
      <c r="X29" s="138">
        <f t="shared" si="5"/>
        <v>0</v>
      </c>
      <c r="Y29" s="138">
        <f t="shared" si="5"/>
        <v>0</v>
      </c>
      <c r="Z29" s="138">
        <f t="shared" si="5"/>
        <v>0</v>
      </c>
      <c r="AA29" s="147">
        <f t="shared" si="5"/>
        <v>0</v>
      </c>
    </row>
    <row r="30" spans="2:27" ht="11.25">
      <c r="B30" s="149"/>
      <c r="C30" s="150">
        <f t="shared" si="0"/>
        <v>0</v>
      </c>
      <c r="D30" s="150">
        <f t="shared" si="1"/>
        <v>0</v>
      </c>
      <c r="E30" s="151">
        <f t="shared" si="4"/>
        <v>0</v>
      </c>
      <c r="F30" s="151">
        <f t="shared" si="4"/>
        <v>0</v>
      </c>
      <c r="G30" s="151">
        <f t="shared" si="4"/>
        <v>0</v>
      </c>
      <c r="H30" s="151">
        <f t="shared" si="4"/>
        <v>0</v>
      </c>
      <c r="I30" s="151">
        <f t="shared" si="4"/>
        <v>0</v>
      </c>
      <c r="J30" s="151">
        <f t="shared" si="4"/>
        <v>0</v>
      </c>
      <c r="K30" s="151">
        <f t="shared" si="4"/>
        <v>0</v>
      </c>
      <c r="L30" s="152">
        <f t="shared" si="4"/>
        <v>0</v>
      </c>
      <c r="M30" s="152">
        <f t="shared" si="4"/>
        <v>0</v>
      </c>
      <c r="N30" s="152">
        <f t="shared" si="4"/>
        <v>0</v>
      </c>
      <c r="O30" s="152">
        <f t="shared" si="5"/>
        <v>0</v>
      </c>
      <c r="P30" s="152">
        <f t="shared" si="5"/>
        <v>0</v>
      </c>
      <c r="Q30" s="151">
        <f t="shared" si="5"/>
        <v>0</v>
      </c>
      <c r="R30" s="151">
        <f t="shared" si="5"/>
        <v>0</v>
      </c>
      <c r="S30" s="151">
        <f t="shared" si="5"/>
        <v>0</v>
      </c>
      <c r="T30" s="151">
        <f t="shared" si="5"/>
        <v>0</v>
      </c>
      <c r="U30" s="151">
        <f t="shared" si="5"/>
        <v>0</v>
      </c>
      <c r="V30" s="151">
        <f t="shared" si="5"/>
        <v>0</v>
      </c>
      <c r="W30" s="151">
        <f t="shared" si="5"/>
        <v>0</v>
      </c>
      <c r="X30" s="151">
        <f t="shared" si="5"/>
        <v>0</v>
      </c>
      <c r="Y30" s="151">
        <f t="shared" si="5"/>
        <v>0</v>
      </c>
      <c r="Z30" s="151">
        <f t="shared" si="5"/>
        <v>0</v>
      </c>
      <c r="AA30" s="153">
        <f t="shared" si="5"/>
        <v>0</v>
      </c>
    </row>
    <row r="31" spans="7:16" ht="11.25">
      <c r="G31" s="154"/>
      <c r="H31" s="154"/>
      <c r="I31" s="154"/>
      <c r="J31" s="154"/>
      <c r="K31" s="154"/>
      <c r="L31" s="154"/>
      <c r="M31" s="154"/>
      <c r="N31" s="154"/>
      <c r="O31" s="154"/>
      <c r="P31" s="154"/>
    </row>
    <row r="32" spans="7:16" ht="11.25">
      <c r="G32" s="154"/>
      <c r="H32" s="154"/>
      <c r="I32" s="154"/>
      <c r="J32" s="154"/>
      <c r="K32" s="154"/>
      <c r="L32" s="154"/>
      <c r="M32" s="154"/>
      <c r="N32" s="154"/>
      <c r="O32" s="154"/>
      <c r="P32" s="154"/>
    </row>
    <row r="33" spans="7:16" ht="11.25">
      <c r="G33" s="154"/>
      <c r="H33" s="154"/>
      <c r="I33" s="154"/>
      <c r="J33" s="154"/>
      <c r="K33" s="154"/>
      <c r="L33" s="154"/>
      <c r="M33" s="154"/>
      <c r="N33" s="154"/>
      <c r="O33" s="154"/>
      <c r="P33" s="154"/>
    </row>
  </sheetData>
  <sheetProtection/>
  <mergeCells count="6">
    <mergeCell ref="E4:AA4"/>
    <mergeCell ref="E2:AA2"/>
    <mergeCell ref="E3:AA3"/>
    <mergeCell ref="B2:B4"/>
    <mergeCell ref="C2:C4"/>
    <mergeCell ref="D2:D4"/>
  </mergeCells>
  <printOptions/>
  <pageMargins left="0.9448818897637796" right="0.35433070866141736" top="0.984251968503937" bottom="0.3937007874015748" header="0.5118110236220472" footer="0.5118110236220472"/>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sheetPr>
    <tabColor indexed="38"/>
  </sheetPr>
  <dimension ref="B1:AF85"/>
  <sheetViews>
    <sheetView showGridLines="0" tabSelected="1" zoomScalePageLayoutView="0" workbookViewId="0" topLeftCell="A1">
      <selection activeCell="B28" sqref="B28:N28"/>
    </sheetView>
  </sheetViews>
  <sheetFormatPr defaultColWidth="9.00390625" defaultRowHeight="12.75"/>
  <cols>
    <col min="1" max="1" width="2.625" style="0" customWidth="1"/>
    <col min="2" max="2" width="12.625" style="0" customWidth="1"/>
    <col min="3" max="13" width="8.625" style="0" customWidth="1"/>
  </cols>
  <sheetData>
    <row r="1" spans="2:27" ht="19.5" customHeight="1" thickBot="1">
      <c r="B1" s="322" t="s">
        <v>579</v>
      </c>
      <c r="C1" s="322"/>
      <c r="D1" s="322"/>
      <c r="E1" s="322"/>
      <c r="F1" s="322"/>
      <c r="G1" s="322"/>
      <c r="H1" s="322"/>
      <c r="I1" s="322"/>
      <c r="J1" s="322"/>
      <c r="K1" s="322"/>
      <c r="L1" s="322"/>
      <c r="M1" s="322"/>
      <c r="P1" s="321" t="s">
        <v>587</v>
      </c>
      <c r="Q1" s="321"/>
      <c r="R1" s="321"/>
      <c r="S1" s="321"/>
      <c r="T1" s="321"/>
      <c r="U1" s="321"/>
      <c r="V1" s="321"/>
      <c r="W1" s="321"/>
      <c r="X1" s="321"/>
      <c r="Y1" s="321"/>
      <c r="Z1" s="321"/>
      <c r="AA1" s="321"/>
    </row>
    <row r="2" spans="2:27" ht="15" customHeight="1" thickTop="1">
      <c r="B2" s="155" t="s">
        <v>10</v>
      </c>
      <c r="C2" s="156" t="s">
        <v>0</v>
      </c>
      <c r="D2" s="278" t="s">
        <v>578</v>
      </c>
      <c r="E2" s="278"/>
      <c r="F2" s="278"/>
      <c r="G2" s="278"/>
      <c r="H2" s="278"/>
      <c r="I2" s="278"/>
      <c r="J2" s="278"/>
      <c r="K2" s="278"/>
      <c r="L2" s="278"/>
      <c r="M2" s="279"/>
      <c r="P2" s="378" t="s">
        <v>584</v>
      </c>
      <c r="Q2" s="390" t="s">
        <v>588</v>
      </c>
      <c r="R2" s="391"/>
      <c r="S2" s="191" t="s">
        <v>589</v>
      </c>
      <c r="T2" s="192"/>
      <c r="U2" s="192"/>
      <c r="V2" s="192"/>
      <c r="W2" s="192"/>
      <c r="X2" s="192"/>
      <c r="Y2" s="192"/>
      <c r="Z2" s="192"/>
      <c r="AA2" s="157" t="s">
        <v>590</v>
      </c>
    </row>
    <row r="3" spans="2:27" ht="15" customHeight="1">
      <c r="B3" s="67" t="s">
        <v>22</v>
      </c>
      <c r="C3" s="15" t="s">
        <v>1</v>
      </c>
      <c r="D3" s="15">
        <v>1</v>
      </c>
      <c r="E3" s="15">
        <v>2</v>
      </c>
      <c r="F3" s="15">
        <v>3</v>
      </c>
      <c r="G3" s="15">
        <v>4</v>
      </c>
      <c r="H3" s="15">
        <v>5</v>
      </c>
      <c r="I3" s="15">
        <v>6</v>
      </c>
      <c r="J3" s="15">
        <v>7</v>
      </c>
      <c r="K3" s="15">
        <v>8</v>
      </c>
      <c r="L3" s="15">
        <v>9</v>
      </c>
      <c r="M3" s="16">
        <v>10</v>
      </c>
      <c r="P3" s="379"/>
      <c r="Q3" s="388" t="s">
        <v>586</v>
      </c>
      <c r="R3" s="389"/>
      <c r="S3" s="389"/>
      <c r="T3" s="389"/>
      <c r="U3" s="389"/>
      <c r="V3" s="389"/>
      <c r="W3" s="389"/>
      <c r="X3" s="389"/>
      <c r="Y3" s="389"/>
      <c r="Z3" s="389"/>
      <c r="AA3" s="382" t="s">
        <v>578</v>
      </c>
    </row>
    <row r="4" spans="2:27" ht="15" customHeight="1" thickBot="1">
      <c r="B4" s="67">
        <v>6</v>
      </c>
      <c r="C4" s="7">
        <f aca="true" t="shared" si="0" ref="C4:C26">(0.785)*(PI()*(B4/10)^2)/4</f>
        <v>0.2219535209761189</v>
      </c>
      <c r="D4" s="19">
        <f aca="true" t="shared" si="1" ref="D4:E26">(PI()*($B4/10)^2)*D$3/4</f>
        <v>0.2827433388230814</v>
      </c>
      <c r="E4" s="19">
        <f t="shared" si="1"/>
        <v>0.5654866776461628</v>
      </c>
      <c r="F4" s="19">
        <f aca="true" t="shared" si="2" ref="F4:M19">(PI()*($B4/10)^2)*F$3/4</f>
        <v>0.8482300164692442</v>
      </c>
      <c r="G4" s="19">
        <f t="shared" si="2"/>
        <v>1.1309733552923256</v>
      </c>
      <c r="H4" s="19">
        <f t="shared" si="2"/>
        <v>1.413716694115407</v>
      </c>
      <c r="I4" s="19">
        <f t="shared" si="2"/>
        <v>1.6964600329384885</v>
      </c>
      <c r="J4" s="19">
        <f t="shared" si="2"/>
        <v>1.9792033717615698</v>
      </c>
      <c r="K4" s="19">
        <f t="shared" si="2"/>
        <v>2.261946710584651</v>
      </c>
      <c r="L4" s="19">
        <f t="shared" si="2"/>
        <v>2.5446900494077327</v>
      </c>
      <c r="M4" s="179">
        <f t="shared" si="2"/>
        <v>2.827433388230814</v>
      </c>
      <c r="P4" s="69" t="s">
        <v>585</v>
      </c>
      <c r="Q4" s="190">
        <v>6</v>
      </c>
      <c r="R4" s="190">
        <v>8</v>
      </c>
      <c r="S4" s="190">
        <v>10</v>
      </c>
      <c r="T4" s="190">
        <v>12</v>
      </c>
      <c r="U4" s="190">
        <v>14</v>
      </c>
      <c r="V4" s="190">
        <v>16</v>
      </c>
      <c r="W4" s="190">
        <v>18</v>
      </c>
      <c r="X4" s="190">
        <v>20</v>
      </c>
      <c r="Y4" s="190">
        <v>22</v>
      </c>
      <c r="Z4" s="193">
        <v>24</v>
      </c>
      <c r="AA4" s="383"/>
    </row>
    <row r="5" spans="2:27" ht="15" customHeight="1" thickTop="1">
      <c r="B5" s="67">
        <v>8</v>
      </c>
      <c r="C5" s="7">
        <f t="shared" si="0"/>
        <v>0.39458403729087804</v>
      </c>
      <c r="D5" s="19">
        <f t="shared" si="1"/>
        <v>0.5026548245743669</v>
      </c>
      <c r="E5" s="19">
        <f t="shared" si="1"/>
        <v>1.0053096491487339</v>
      </c>
      <c r="F5" s="19">
        <f t="shared" si="2"/>
        <v>1.5079644737231008</v>
      </c>
      <c r="G5" s="19">
        <f t="shared" si="2"/>
        <v>2.0106192982974678</v>
      </c>
      <c r="H5" s="19">
        <f t="shared" si="2"/>
        <v>2.5132741228718345</v>
      </c>
      <c r="I5" s="19">
        <f t="shared" si="2"/>
        <v>3.0159289474462017</v>
      </c>
      <c r="J5" s="19">
        <f t="shared" si="2"/>
        <v>3.518583772020569</v>
      </c>
      <c r="K5" s="19">
        <f t="shared" si="2"/>
        <v>4.0212385965949355</v>
      </c>
      <c r="L5" s="19">
        <f t="shared" si="2"/>
        <v>4.523893421169302</v>
      </c>
      <c r="M5" s="179">
        <f t="shared" si="2"/>
        <v>5.026548245743669</v>
      </c>
      <c r="P5" s="186">
        <v>7</v>
      </c>
      <c r="Q5" s="187">
        <f>100*(PI()*(Q$4/10)^2)/$P5/4</f>
        <v>4.039190554615448</v>
      </c>
      <c r="R5" s="187">
        <f>100*(PI()*(R$4/10)^2)/$P5/4</f>
        <v>7.180783208205242</v>
      </c>
      <c r="S5" s="187">
        <f aca="true" t="shared" si="3" ref="S5:Z20">100*(PI()*(S$4/10)^2)/$P5/4</f>
        <v>11.21997376282069</v>
      </c>
      <c r="T5" s="187">
        <f t="shared" si="3"/>
        <v>16.156762218461793</v>
      </c>
      <c r="U5" s="187">
        <f t="shared" si="3"/>
        <v>21.991148575128545</v>
      </c>
      <c r="V5" s="187">
        <f t="shared" si="3"/>
        <v>28.72313283282097</v>
      </c>
      <c r="W5" s="187">
        <f t="shared" si="3"/>
        <v>36.35271499153904</v>
      </c>
      <c r="X5" s="187">
        <f t="shared" si="3"/>
        <v>44.87989505128276</v>
      </c>
      <c r="Y5" s="187">
        <f t="shared" si="3"/>
        <v>54.30467301205215</v>
      </c>
      <c r="Z5" s="187">
        <f t="shared" si="3"/>
        <v>64.62704887384717</v>
      </c>
      <c r="AA5" s="194">
        <f>100/P5</f>
        <v>14.285714285714286</v>
      </c>
    </row>
    <row r="6" spans="2:27" ht="15" customHeight="1">
      <c r="B6" s="67">
        <v>10</v>
      </c>
      <c r="C6" s="7">
        <f t="shared" si="0"/>
        <v>0.616537558266997</v>
      </c>
      <c r="D6" s="19">
        <f t="shared" si="1"/>
        <v>0.7853981633974483</v>
      </c>
      <c r="E6" s="19">
        <f t="shared" si="1"/>
        <v>1.5707963267948966</v>
      </c>
      <c r="F6" s="19">
        <f t="shared" si="2"/>
        <v>2.356194490192345</v>
      </c>
      <c r="G6" s="19">
        <f t="shared" si="2"/>
        <v>3.141592653589793</v>
      </c>
      <c r="H6" s="19">
        <f t="shared" si="2"/>
        <v>3.9269908169872414</v>
      </c>
      <c r="I6" s="19">
        <f t="shared" si="2"/>
        <v>4.71238898038469</v>
      </c>
      <c r="J6" s="19">
        <f t="shared" si="2"/>
        <v>5.497787143782138</v>
      </c>
      <c r="K6" s="19">
        <f t="shared" si="2"/>
        <v>6.283185307179586</v>
      </c>
      <c r="L6" s="19">
        <f t="shared" si="2"/>
        <v>7.0685834705770345</v>
      </c>
      <c r="M6" s="179">
        <f t="shared" si="2"/>
        <v>7.853981633974483</v>
      </c>
      <c r="P6" s="188">
        <v>7.5</v>
      </c>
      <c r="Q6" s="19">
        <f aca="true" t="shared" si="4" ref="Q6:Z41">100*(PI()*(Q$4/10)^2)/$P6/4</f>
        <v>3.7699111843077517</v>
      </c>
      <c r="R6" s="19">
        <f t="shared" si="4"/>
        <v>6.702064327658226</v>
      </c>
      <c r="S6" s="19">
        <f t="shared" si="3"/>
        <v>10.471975511965978</v>
      </c>
      <c r="T6" s="19">
        <f t="shared" si="3"/>
        <v>15.079644737231007</v>
      </c>
      <c r="U6" s="19">
        <f t="shared" si="3"/>
        <v>20.52507200345331</v>
      </c>
      <c r="V6" s="19">
        <f t="shared" si="3"/>
        <v>26.808257310632904</v>
      </c>
      <c r="W6" s="19">
        <f t="shared" si="3"/>
        <v>33.929200658769766</v>
      </c>
      <c r="X6" s="19">
        <f t="shared" si="3"/>
        <v>41.88790204786391</v>
      </c>
      <c r="Y6" s="19">
        <f t="shared" si="3"/>
        <v>50.68436147791534</v>
      </c>
      <c r="Z6" s="19">
        <f t="shared" si="3"/>
        <v>60.31857894892403</v>
      </c>
      <c r="AA6" s="195">
        <f aca="true" t="shared" si="5" ref="AA6:AA41">100/P6</f>
        <v>13.333333333333334</v>
      </c>
    </row>
    <row r="7" spans="2:27" ht="15" customHeight="1">
      <c r="B7" s="67">
        <v>12</v>
      </c>
      <c r="C7" s="7">
        <f t="shared" si="0"/>
        <v>0.8878140839044756</v>
      </c>
      <c r="D7" s="19">
        <f t="shared" si="1"/>
        <v>1.1309733552923256</v>
      </c>
      <c r="E7" s="19">
        <f t="shared" si="1"/>
        <v>2.261946710584651</v>
      </c>
      <c r="F7" s="19">
        <f t="shared" si="2"/>
        <v>3.392920065876977</v>
      </c>
      <c r="G7" s="19">
        <f t="shared" si="2"/>
        <v>4.523893421169302</v>
      </c>
      <c r="H7" s="19">
        <f t="shared" si="2"/>
        <v>5.654866776461628</v>
      </c>
      <c r="I7" s="19">
        <f t="shared" si="2"/>
        <v>6.785840131753954</v>
      </c>
      <c r="J7" s="19">
        <f t="shared" si="2"/>
        <v>7.916813487046279</v>
      </c>
      <c r="K7" s="19">
        <f t="shared" si="2"/>
        <v>9.047786842338605</v>
      </c>
      <c r="L7" s="19">
        <f t="shared" si="2"/>
        <v>10.17876019763093</v>
      </c>
      <c r="M7" s="179">
        <f t="shared" si="2"/>
        <v>11.309733552923255</v>
      </c>
      <c r="P7" s="188">
        <v>8</v>
      </c>
      <c r="Q7" s="19">
        <f t="shared" si="4"/>
        <v>3.5342917352885173</v>
      </c>
      <c r="R7" s="19">
        <f t="shared" si="4"/>
        <v>6.283185307179587</v>
      </c>
      <c r="S7" s="19">
        <f t="shared" si="3"/>
        <v>9.817477042468104</v>
      </c>
      <c r="T7" s="19">
        <f t="shared" si="3"/>
        <v>14.137166941154069</v>
      </c>
      <c r="U7" s="19">
        <f t="shared" si="3"/>
        <v>19.242255003237478</v>
      </c>
      <c r="V7" s="19">
        <f t="shared" si="3"/>
        <v>25.13274122871835</v>
      </c>
      <c r="W7" s="19">
        <f t="shared" si="3"/>
        <v>31.808625617596658</v>
      </c>
      <c r="X7" s="19">
        <f t="shared" si="3"/>
        <v>39.269908169872416</v>
      </c>
      <c r="Y7" s="19">
        <f t="shared" si="3"/>
        <v>47.51658888554563</v>
      </c>
      <c r="Z7" s="19">
        <f t="shared" si="3"/>
        <v>56.548667764616276</v>
      </c>
      <c r="AA7" s="195">
        <f t="shared" si="5"/>
        <v>12.5</v>
      </c>
    </row>
    <row r="8" spans="2:27" ht="15" customHeight="1">
      <c r="B8" s="67">
        <v>14</v>
      </c>
      <c r="C8" s="7">
        <f t="shared" si="0"/>
        <v>1.2084136142033137</v>
      </c>
      <c r="D8" s="19">
        <f t="shared" si="1"/>
        <v>1.5393804002589984</v>
      </c>
      <c r="E8" s="19">
        <f t="shared" si="1"/>
        <v>3.0787608005179967</v>
      </c>
      <c r="F8" s="19">
        <f t="shared" si="2"/>
        <v>4.618141200776995</v>
      </c>
      <c r="G8" s="19">
        <f t="shared" si="2"/>
        <v>6.157521601035993</v>
      </c>
      <c r="H8" s="19">
        <f t="shared" si="2"/>
        <v>7.696902001294992</v>
      </c>
      <c r="I8" s="19">
        <f t="shared" si="2"/>
        <v>9.23628240155399</v>
      </c>
      <c r="J8" s="19">
        <f t="shared" si="2"/>
        <v>10.775662801812988</v>
      </c>
      <c r="K8" s="19">
        <f t="shared" si="2"/>
        <v>12.315043202071987</v>
      </c>
      <c r="L8" s="19">
        <f t="shared" si="2"/>
        <v>13.854423602330986</v>
      </c>
      <c r="M8" s="179">
        <f t="shared" si="2"/>
        <v>15.393804002589984</v>
      </c>
      <c r="P8" s="188">
        <v>8.5</v>
      </c>
      <c r="Q8" s="19">
        <f t="shared" si="4"/>
        <v>3.326392221448016</v>
      </c>
      <c r="R8" s="19">
        <f t="shared" si="4"/>
        <v>5.913586171463141</v>
      </c>
      <c r="S8" s="19">
        <f t="shared" si="3"/>
        <v>9.239978392911157</v>
      </c>
      <c r="T8" s="19">
        <f t="shared" si="3"/>
        <v>13.305568885792065</v>
      </c>
      <c r="U8" s="19">
        <f t="shared" si="3"/>
        <v>18.11035765010586</v>
      </c>
      <c r="V8" s="19">
        <f t="shared" si="3"/>
        <v>23.654344685852564</v>
      </c>
      <c r="W8" s="19">
        <f t="shared" si="3"/>
        <v>29.937529993032147</v>
      </c>
      <c r="X8" s="19">
        <f t="shared" si="3"/>
        <v>36.95991357164463</v>
      </c>
      <c r="Y8" s="19">
        <f t="shared" si="3"/>
        <v>44.72149542169001</v>
      </c>
      <c r="Z8" s="19">
        <f t="shared" si="3"/>
        <v>53.22227554316826</v>
      </c>
      <c r="AA8" s="195">
        <f t="shared" si="5"/>
        <v>11.764705882352942</v>
      </c>
    </row>
    <row r="9" spans="2:27" ht="15" customHeight="1">
      <c r="B9" s="67">
        <v>16</v>
      </c>
      <c r="C9" s="7">
        <f t="shared" si="0"/>
        <v>1.5783361491635122</v>
      </c>
      <c r="D9" s="19">
        <f t="shared" si="1"/>
        <v>2.0106192982974678</v>
      </c>
      <c r="E9" s="19">
        <f t="shared" si="1"/>
        <v>4.0212385965949355</v>
      </c>
      <c r="F9" s="19">
        <f t="shared" si="2"/>
        <v>6.031857894892403</v>
      </c>
      <c r="G9" s="19">
        <f t="shared" si="2"/>
        <v>8.042477193189871</v>
      </c>
      <c r="H9" s="19">
        <f t="shared" si="2"/>
        <v>10.053096491487338</v>
      </c>
      <c r="I9" s="19">
        <f t="shared" si="2"/>
        <v>12.063715789784807</v>
      </c>
      <c r="J9" s="19">
        <f t="shared" si="2"/>
        <v>14.074335088082275</v>
      </c>
      <c r="K9" s="19">
        <f t="shared" si="2"/>
        <v>16.084954386379742</v>
      </c>
      <c r="L9" s="19">
        <f t="shared" si="2"/>
        <v>18.09557368467721</v>
      </c>
      <c r="M9" s="179">
        <f t="shared" si="2"/>
        <v>20.106192982974676</v>
      </c>
      <c r="P9" s="188">
        <v>9</v>
      </c>
      <c r="Q9" s="19">
        <f t="shared" si="4"/>
        <v>3.141592653589793</v>
      </c>
      <c r="R9" s="19">
        <f t="shared" si="4"/>
        <v>5.585053606381855</v>
      </c>
      <c r="S9" s="19">
        <f t="shared" si="3"/>
        <v>8.726646259971648</v>
      </c>
      <c r="T9" s="19">
        <f t="shared" si="3"/>
        <v>12.566370614359172</v>
      </c>
      <c r="U9" s="19">
        <f t="shared" si="3"/>
        <v>17.104226669544424</v>
      </c>
      <c r="V9" s="19">
        <f t="shared" si="3"/>
        <v>22.34021442552742</v>
      </c>
      <c r="W9" s="19">
        <f t="shared" si="3"/>
        <v>28.27433388230814</v>
      </c>
      <c r="X9" s="19">
        <f t="shared" si="3"/>
        <v>34.90658503988659</v>
      </c>
      <c r="Y9" s="19">
        <f t="shared" si="3"/>
        <v>42.23696789826278</v>
      </c>
      <c r="Z9" s="19">
        <f t="shared" si="3"/>
        <v>50.26548245743669</v>
      </c>
      <c r="AA9" s="195">
        <f t="shared" si="5"/>
        <v>11.11111111111111</v>
      </c>
    </row>
    <row r="10" spans="2:27" ht="15" customHeight="1">
      <c r="B10" s="67">
        <v>18</v>
      </c>
      <c r="C10" s="7">
        <f t="shared" si="0"/>
        <v>1.9975816887850701</v>
      </c>
      <c r="D10" s="19">
        <f t="shared" si="1"/>
        <v>2.5446900494077327</v>
      </c>
      <c r="E10" s="19">
        <f t="shared" si="1"/>
        <v>5.089380098815465</v>
      </c>
      <c r="F10" s="19">
        <f t="shared" si="2"/>
        <v>7.6340701482231985</v>
      </c>
      <c r="G10" s="19">
        <f t="shared" si="2"/>
        <v>10.17876019763093</v>
      </c>
      <c r="H10" s="19">
        <f t="shared" si="2"/>
        <v>12.723450247038663</v>
      </c>
      <c r="I10" s="19">
        <f t="shared" si="2"/>
        <v>15.268140296446397</v>
      </c>
      <c r="J10" s="19">
        <f t="shared" si="2"/>
        <v>17.812830345854128</v>
      </c>
      <c r="K10" s="19">
        <f t="shared" si="2"/>
        <v>20.35752039526186</v>
      </c>
      <c r="L10" s="19">
        <f t="shared" si="2"/>
        <v>22.902210444669596</v>
      </c>
      <c r="M10" s="179">
        <f t="shared" si="2"/>
        <v>25.446900494077326</v>
      </c>
      <c r="P10" s="188">
        <v>9.5</v>
      </c>
      <c r="Q10" s="19">
        <f t="shared" si="4"/>
        <v>2.9762456718219092</v>
      </c>
      <c r="R10" s="19">
        <f t="shared" si="4"/>
        <v>5.291103416572284</v>
      </c>
      <c r="S10" s="19">
        <f t="shared" si="3"/>
        <v>8.267349088394193</v>
      </c>
      <c r="T10" s="19">
        <f t="shared" si="3"/>
        <v>11.904982687287637</v>
      </c>
      <c r="U10" s="19">
        <f t="shared" si="3"/>
        <v>16.204004213252613</v>
      </c>
      <c r="V10" s="19">
        <f t="shared" si="3"/>
        <v>21.164413666289136</v>
      </c>
      <c r="W10" s="19">
        <f t="shared" si="3"/>
        <v>26.786211046397185</v>
      </c>
      <c r="X10" s="19">
        <f t="shared" si="3"/>
        <v>33.06939635357677</v>
      </c>
      <c r="Y10" s="19">
        <f t="shared" si="3"/>
        <v>40.0139695878279</v>
      </c>
      <c r="Z10" s="19">
        <f t="shared" si="3"/>
        <v>47.61993074915055</v>
      </c>
      <c r="AA10" s="195">
        <f t="shared" si="5"/>
        <v>10.526315789473685</v>
      </c>
    </row>
    <row r="11" spans="2:27" ht="15" customHeight="1">
      <c r="B11" s="67">
        <v>20</v>
      </c>
      <c r="C11" s="7">
        <f t="shared" si="0"/>
        <v>2.466150233067988</v>
      </c>
      <c r="D11" s="19">
        <f t="shared" si="1"/>
        <v>3.141592653589793</v>
      </c>
      <c r="E11" s="19">
        <f t="shared" si="1"/>
        <v>6.283185307179586</v>
      </c>
      <c r="F11" s="19">
        <f t="shared" si="2"/>
        <v>9.42477796076938</v>
      </c>
      <c r="G11" s="19">
        <f t="shared" si="2"/>
        <v>12.566370614359172</v>
      </c>
      <c r="H11" s="19">
        <f t="shared" si="2"/>
        <v>15.707963267948966</v>
      </c>
      <c r="I11" s="19">
        <f t="shared" si="2"/>
        <v>18.84955592153876</v>
      </c>
      <c r="J11" s="19">
        <f t="shared" si="2"/>
        <v>21.991148575128552</v>
      </c>
      <c r="K11" s="19">
        <f t="shared" si="2"/>
        <v>25.132741228718345</v>
      </c>
      <c r="L11" s="19">
        <f t="shared" si="2"/>
        <v>28.274333882308138</v>
      </c>
      <c r="M11" s="179">
        <f t="shared" si="2"/>
        <v>31.41592653589793</v>
      </c>
      <c r="P11" s="188">
        <v>10</v>
      </c>
      <c r="Q11" s="19">
        <f t="shared" si="4"/>
        <v>2.827433388230814</v>
      </c>
      <c r="R11" s="19">
        <f t="shared" si="4"/>
        <v>5.02654824574367</v>
      </c>
      <c r="S11" s="19">
        <f t="shared" si="3"/>
        <v>7.853981633974483</v>
      </c>
      <c r="T11" s="19">
        <f t="shared" si="3"/>
        <v>11.309733552923255</v>
      </c>
      <c r="U11" s="19">
        <f t="shared" si="3"/>
        <v>15.393804002589983</v>
      </c>
      <c r="V11" s="19">
        <f t="shared" si="3"/>
        <v>20.10619298297468</v>
      </c>
      <c r="W11" s="19">
        <f t="shared" si="3"/>
        <v>25.446900494077326</v>
      </c>
      <c r="X11" s="19">
        <f t="shared" si="3"/>
        <v>31.41592653589793</v>
      </c>
      <c r="Y11" s="19">
        <f t="shared" si="3"/>
        <v>38.013271108436506</v>
      </c>
      <c r="Z11" s="19">
        <f t="shared" si="3"/>
        <v>45.23893421169302</v>
      </c>
      <c r="AA11" s="195">
        <f t="shared" si="5"/>
        <v>10</v>
      </c>
    </row>
    <row r="12" spans="2:27" ht="15" customHeight="1">
      <c r="B12" s="67">
        <v>22</v>
      </c>
      <c r="C12" s="7">
        <f t="shared" si="0"/>
        <v>2.9840417820122656</v>
      </c>
      <c r="D12" s="19">
        <f t="shared" si="1"/>
        <v>3.8013271108436504</v>
      </c>
      <c r="E12" s="19">
        <f t="shared" si="1"/>
        <v>7.602654221687301</v>
      </c>
      <c r="F12" s="19">
        <f t="shared" si="2"/>
        <v>11.40398133253095</v>
      </c>
      <c r="G12" s="19">
        <f t="shared" si="2"/>
        <v>15.205308443374602</v>
      </c>
      <c r="H12" s="19">
        <f t="shared" si="2"/>
        <v>19.006635554218253</v>
      </c>
      <c r="I12" s="19">
        <f t="shared" si="2"/>
        <v>22.8079626650619</v>
      </c>
      <c r="J12" s="19">
        <f t="shared" si="2"/>
        <v>26.609289775905552</v>
      </c>
      <c r="K12" s="19">
        <f t="shared" si="2"/>
        <v>30.410616886749203</v>
      </c>
      <c r="L12" s="19">
        <f t="shared" si="2"/>
        <v>34.211943997592854</v>
      </c>
      <c r="M12" s="179">
        <f t="shared" si="2"/>
        <v>38.013271108436506</v>
      </c>
      <c r="P12" s="188">
        <v>10.5</v>
      </c>
      <c r="Q12" s="19">
        <f t="shared" si="4"/>
        <v>2.6927937030769655</v>
      </c>
      <c r="R12" s="19">
        <f t="shared" si="4"/>
        <v>4.787188805470161</v>
      </c>
      <c r="S12" s="19">
        <f t="shared" si="3"/>
        <v>7.479982508547127</v>
      </c>
      <c r="T12" s="19">
        <f t="shared" si="3"/>
        <v>10.771174812307862</v>
      </c>
      <c r="U12" s="19">
        <f t="shared" si="3"/>
        <v>14.660765716752364</v>
      </c>
      <c r="V12" s="19">
        <f t="shared" si="3"/>
        <v>19.148755221880645</v>
      </c>
      <c r="W12" s="19">
        <f t="shared" si="3"/>
        <v>24.23514332769269</v>
      </c>
      <c r="X12" s="19">
        <f t="shared" si="3"/>
        <v>29.919930034188507</v>
      </c>
      <c r="Y12" s="19">
        <f t="shared" si="3"/>
        <v>36.2031153413681</v>
      </c>
      <c r="Z12" s="19">
        <f t="shared" si="3"/>
        <v>43.08469924923145</v>
      </c>
      <c r="AA12" s="195">
        <f t="shared" si="5"/>
        <v>9.523809523809524</v>
      </c>
    </row>
    <row r="13" spans="2:27" ht="15" customHeight="1">
      <c r="B13" s="67">
        <v>24</v>
      </c>
      <c r="C13" s="7">
        <f t="shared" si="0"/>
        <v>3.5512563356179023</v>
      </c>
      <c r="D13" s="19">
        <f t="shared" si="1"/>
        <v>4.523893421169302</v>
      </c>
      <c r="E13" s="19">
        <f t="shared" si="1"/>
        <v>9.047786842338605</v>
      </c>
      <c r="F13" s="19">
        <f t="shared" si="2"/>
        <v>13.571680263507908</v>
      </c>
      <c r="G13" s="19">
        <f t="shared" si="2"/>
        <v>18.09557368467721</v>
      </c>
      <c r="H13" s="19">
        <f t="shared" si="2"/>
        <v>22.61946710584651</v>
      </c>
      <c r="I13" s="19">
        <f t="shared" si="2"/>
        <v>27.143360527015815</v>
      </c>
      <c r="J13" s="19">
        <f t="shared" si="2"/>
        <v>31.667253948185117</v>
      </c>
      <c r="K13" s="19">
        <f t="shared" si="2"/>
        <v>36.19114736935442</v>
      </c>
      <c r="L13" s="19">
        <f t="shared" si="2"/>
        <v>40.71504079052372</v>
      </c>
      <c r="M13" s="179">
        <f t="shared" si="2"/>
        <v>45.23893421169302</v>
      </c>
      <c r="P13" s="188">
        <v>11</v>
      </c>
      <c r="Q13" s="19">
        <f t="shared" si="4"/>
        <v>2.5703939893007397</v>
      </c>
      <c r="R13" s="19">
        <f t="shared" si="4"/>
        <v>4.569589314312427</v>
      </c>
      <c r="S13" s="19">
        <f t="shared" si="3"/>
        <v>7.139983303613167</v>
      </c>
      <c r="T13" s="19">
        <f t="shared" si="3"/>
        <v>10.281575957202959</v>
      </c>
      <c r="U13" s="19">
        <f t="shared" si="3"/>
        <v>13.994367275081801</v>
      </c>
      <c r="V13" s="19">
        <f t="shared" si="3"/>
        <v>18.27835725724971</v>
      </c>
      <c r="W13" s="19">
        <f t="shared" si="3"/>
        <v>23.13354590370666</v>
      </c>
      <c r="X13" s="19">
        <f t="shared" si="3"/>
        <v>28.559933214452666</v>
      </c>
      <c r="Y13" s="19">
        <f t="shared" si="3"/>
        <v>34.55751918948773</v>
      </c>
      <c r="Z13" s="19">
        <f t="shared" si="3"/>
        <v>41.126303828811835</v>
      </c>
      <c r="AA13" s="195">
        <f t="shared" si="5"/>
        <v>9.090909090909092</v>
      </c>
    </row>
    <row r="14" spans="2:27" ht="15" customHeight="1">
      <c r="B14" s="67">
        <v>26</v>
      </c>
      <c r="C14" s="7">
        <f t="shared" si="0"/>
        <v>4.167793893884899</v>
      </c>
      <c r="D14" s="19">
        <f t="shared" si="1"/>
        <v>5.3092915845667505</v>
      </c>
      <c r="E14" s="19">
        <f t="shared" si="1"/>
        <v>10.618583169133501</v>
      </c>
      <c r="F14" s="19">
        <f t="shared" si="2"/>
        <v>15.927874753700252</v>
      </c>
      <c r="G14" s="19">
        <f t="shared" si="2"/>
        <v>21.237166338267002</v>
      </c>
      <c r="H14" s="19">
        <f t="shared" si="2"/>
        <v>26.546457922833753</v>
      </c>
      <c r="I14" s="19">
        <f t="shared" si="2"/>
        <v>31.855749507400503</v>
      </c>
      <c r="J14" s="19">
        <f t="shared" si="2"/>
        <v>37.165041091967254</v>
      </c>
      <c r="K14" s="19">
        <f t="shared" si="2"/>
        <v>42.474332676534004</v>
      </c>
      <c r="L14" s="19">
        <f t="shared" si="2"/>
        <v>47.783624261100755</v>
      </c>
      <c r="M14" s="179">
        <f t="shared" si="2"/>
        <v>53.092915845667505</v>
      </c>
      <c r="P14" s="188">
        <v>11.5</v>
      </c>
      <c r="Q14" s="19">
        <f t="shared" si="4"/>
        <v>2.4586377288963597</v>
      </c>
      <c r="R14" s="19">
        <f t="shared" si="4"/>
        <v>4.370911518037974</v>
      </c>
      <c r="S14" s="19">
        <f t="shared" si="3"/>
        <v>6.8295492469343335</v>
      </c>
      <c r="T14" s="19">
        <f t="shared" si="3"/>
        <v>9.834550915585439</v>
      </c>
      <c r="U14" s="19">
        <f t="shared" si="3"/>
        <v>13.38591652399129</v>
      </c>
      <c r="V14" s="19">
        <f t="shared" si="3"/>
        <v>17.483646072151895</v>
      </c>
      <c r="W14" s="19">
        <f t="shared" si="3"/>
        <v>22.12773956006724</v>
      </c>
      <c r="X14" s="19">
        <f t="shared" si="3"/>
        <v>27.318196987737334</v>
      </c>
      <c r="Y14" s="19">
        <f t="shared" si="3"/>
        <v>33.055018355162176</v>
      </c>
      <c r="Z14" s="19">
        <f t="shared" si="3"/>
        <v>39.338203662341755</v>
      </c>
      <c r="AA14" s="195">
        <f t="shared" si="5"/>
        <v>8.695652173913043</v>
      </c>
    </row>
    <row r="15" spans="2:27" ht="15" customHeight="1">
      <c r="B15" s="67">
        <v>28</v>
      </c>
      <c r="C15" s="7">
        <f t="shared" si="0"/>
        <v>4.833654456813255</v>
      </c>
      <c r="D15" s="19">
        <f t="shared" si="1"/>
        <v>6.157521601035993</v>
      </c>
      <c r="E15" s="19">
        <f t="shared" si="1"/>
        <v>12.315043202071987</v>
      </c>
      <c r="F15" s="19">
        <f t="shared" si="2"/>
        <v>18.47256480310798</v>
      </c>
      <c r="G15" s="19">
        <f t="shared" si="2"/>
        <v>24.630086404143974</v>
      </c>
      <c r="H15" s="19">
        <f t="shared" si="2"/>
        <v>30.78760800517997</v>
      </c>
      <c r="I15" s="19">
        <f t="shared" si="2"/>
        <v>36.94512960621596</v>
      </c>
      <c r="J15" s="19">
        <f t="shared" si="2"/>
        <v>43.10265120725195</v>
      </c>
      <c r="K15" s="19">
        <f t="shared" si="2"/>
        <v>49.26017280828795</v>
      </c>
      <c r="L15" s="19">
        <f t="shared" si="2"/>
        <v>55.41769440932394</v>
      </c>
      <c r="M15" s="179">
        <f t="shared" si="2"/>
        <v>61.57521601035994</v>
      </c>
      <c r="P15" s="188">
        <v>12</v>
      </c>
      <c r="Q15" s="19">
        <f t="shared" si="4"/>
        <v>2.356194490192345</v>
      </c>
      <c r="R15" s="19">
        <f t="shared" si="4"/>
        <v>4.188790204786391</v>
      </c>
      <c r="S15" s="19">
        <f t="shared" si="3"/>
        <v>6.544984694978736</v>
      </c>
      <c r="T15" s="19">
        <f t="shared" si="3"/>
        <v>9.42477796076938</v>
      </c>
      <c r="U15" s="19">
        <f t="shared" si="3"/>
        <v>12.828170002158318</v>
      </c>
      <c r="V15" s="19">
        <f t="shared" si="3"/>
        <v>16.755160819145566</v>
      </c>
      <c r="W15" s="19">
        <f t="shared" si="3"/>
        <v>21.205750411731106</v>
      </c>
      <c r="X15" s="19">
        <f t="shared" si="3"/>
        <v>26.179938779914945</v>
      </c>
      <c r="Y15" s="19">
        <f t="shared" si="3"/>
        <v>31.677725923697086</v>
      </c>
      <c r="Z15" s="19">
        <f t="shared" si="3"/>
        <v>37.69911184307752</v>
      </c>
      <c r="AA15" s="195">
        <f t="shared" si="5"/>
        <v>8.333333333333334</v>
      </c>
    </row>
    <row r="16" spans="2:27" ht="15" customHeight="1">
      <c r="B16" s="67">
        <v>30</v>
      </c>
      <c r="C16" s="7">
        <f t="shared" si="0"/>
        <v>5.548838024402972</v>
      </c>
      <c r="D16" s="19">
        <f t="shared" si="1"/>
        <v>7.0685834705770345</v>
      </c>
      <c r="E16" s="19">
        <f t="shared" si="1"/>
        <v>14.137166941154069</v>
      </c>
      <c r="F16" s="19">
        <f t="shared" si="2"/>
        <v>21.205750411731103</v>
      </c>
      <c r="G16" s="19">
        <f t="shared" si="2"/>
        <v>28.274333882308138</v>
      </c>
      <c r="H16" s="19">
        <f t="shared" si="2"/>
        <v>35.34291735288517</v>
      </c>
      <c r="I16" s="19">
        <f t="shared" si="2"/>
        <v>42.411500823462205</v>
      </c>
      <c r="J16" s="19">
        <f t="shared" si="2"/>
        <v>49.480084294039244</v>
      </c>
      <c r="K16" s="19">
        <f t="shared" si="2"/>
        <v>56.548667764616276</v>
      </c>
      <c r="L16" s="19">
        <f t="shared" si="2"/>
        <v>63.61725123519331</v>
      </c>
      <c r="M16" s="179">
        <f t="shared" si="2"/>
        <v>70.68583470577035</v>
      </c>
      <c r="P16" s="188">
        <v>12.5</v>
      </c>
      <c r="Q16" s="19">
        <f t="shared" si="4"/>
        <v>2.261946710584651</v>
      </c>
      <c r="R16" s="19">
        <f t="shared" si="4"/>
        <v>4.0212385965949355</v>
      </c>
      <c r="S16" s="19">
        <f t="shared" si="3"/>
        <v>6.283185307179586</v>
      </c>
      <c r="T16" s="19">
        <f t="shared" si="3"/>
        <v>9.047786842338605</v>
      </c>
      <c r="U16" s="19">
        <f t="shared" si="3"/>
        <v>12.315043202071985</v>
      </c>
      <c r="V16" s="19">
        <f t="shared" si="3"/>
        <v>16.084954386379742</v>
      </c>
      <c r="W16" s="19">
        <f t="shared" si="3"/>
        <v>20.35752039526186</v>
      </c>
      <c r="X16" s="19">
        <f t="shared" si="3"/>
        <v>25.132741228718345</v>
      </c>
      <c r="Y16" s="19">
        <f t="shared" si="3"/>
        <v>30.410616886749203</v>
      </c>
      <c r="Z16" s="19">
        <f t="shared" si="3"/>
        <v>36.19114736935442</v>
      </c>
      <c r="AA16" s="195">
        <f t="shared" si="5"/>
        <v>8</v>
      </c>
    </row>
    <row r="17" spans="2:27" ht="15" customHeight="1">
      <c r="B17" s="67">
        <v>32</v>
      </c>
      <c r="C17" s="7">
        <f t="shared" si="0"/>
        <v>6.313344596654049</v>
      </c>
      <c r="D17" s="19">
        <f t="shared" si="1"/>
        <v>8.042477193189871</v>
      </c>
      <c r="E17" s="19">
        <f t="shared" si="1"/>
        <v>16.084954386379742</v>
      </c>
      <c r="F17" s="19">
        <f t="shared" si="2"/>
        <v>24.127431579569613</v>
      </c>
      <c r="G17" s="19">
        <f t="shared" si="2"/>
        <v>32.169908772759484</v>
      </c>
      <c r="H17" s="19">
        <f t="shared" si="2"/>
        <v>40.21238596594935</v>
      </c>
      <c r="I17" s="19">
        <f t="shared" si="2"/>
        <v>48.25486315913923</v>
      </c>
      <c r="J17" s="19">
        <f t="shared" si="2"/>
        <v>56.2973403523291</v>
      </c>
      <c r="K17" s="19">
        <f t="shared" si="2"/>
        <v>64.33981754551897</v>
      </c>
      <c r="L17" s="19">
        <f t="shared" si="2"/>
        <v>72.38229473870884</v>
      </c>
      <c r="M17" s="179">
        <f t="shared" si="2"/>
        <v>80.4247719318987</v>
      </c>
      <c r="P17" s="188">
        <v>13</v>
      </c>
      <c r="Q17" s="19">
        <f t="shared" si="4"/>
        <v>2.174948760177549</v>
      </c>
      <c r="R17" s="19">
        <f t="shared" si="4"/>
        <v>3.866575573648977</v>
      </c>
      <c r="S17" s="19">
        <f t="shared" si="3"/>
        <v>6.041524333826525</v>
      </c>
      <c r="T17" s="19">
        <f t="shared" si="3"/>
        <v>8.699795040710196</v>
      </c>
      <c r="U17" s="19">
        <f t="shared" si="3"/>
        <v>11.841387694299986</v>
      </c>
      <c r="V17" s="19">
        <f t="shared" si="3"/>
        <v>15.466302294595907</v>
      </c>
      <c r="W17" s="19">
        <f t="shared" si="3"/>
        <v>19.574538841597942</v>
      </c>
      <c r="X17" s="19">
        <f t="shared" si="3"/>
        <v>24.1660973353061</v>
      </c>
      <c r="Y17" s="19">
        <f t="shared" si="3"/>
        <v>29.24097777572039</v>
      </c>
      <c r="Z17" s="19">
        <f t="shared" si="3"/>
        <v>34.799180162840784</v>
      </c>
      <c r="AA17" s="195">
        <f t="shared" si="5"/>
        <v>7.6923076923076925</v>
      </c>
    </row>
    <row r="18" spans="2:27" ht="15" customHeight="1">
      <c r="B18" s="67">
        <v>34</v>
      </c>
      <c r="C18" s="7">
        <f t="shared" si="0"/>
        <v>7.127174173566483</v>
      </c>
      <c r="D18" s="19">
        <f t="shared" si="1"/>
        <v>9.0792027688745</v>
      </c>
      <c r="E18" s="19">
        <f t="shared" si="1"/>
        <v>18.158405537749</v>
      </c>
      <c r="F18" s="19">
        <f t="shared" si="2"/>
        <v>27.2376083066235</v>
      </c>
      <c r="G18" s="19">
        <f t="shared" si="2"/>
        <v>36.316811075498</v>
      </c>
      <c r="H18" s="19">
        <f t="shared" si="2"/>
        <v>45.396013844372504</v>
      </c>
      <c r="I18" s="19">
        <f t="shared" si="2"/>
        <v>54.475216613247</v>
      </c>
      <c r="J18" s="19">
        <f t="shared" si="2"/>
        <v>63.5544193821215</v>
      </c>
      <c r="K18" s="19">
        <f t="shared" si="2"/>
        <v>72.633622150996</v>
      </c>
      <c r="L18" s="19">
        <f t="shared" si="2"/>
        <v>81.7128249198705</v>
      </c>
      <c r="M18" s="179">
        <f t="shared" si="2"/>
        <v>90.79202768874501</v>
      </c>
      <c r="P18" s="188">
        <v>13.5</v>
      </c>
      <c r="Q18" s="19">
        <f t="shared" si="4"/>
        <v>2.0943951023931953</v>
      </c>
      <c r="R18" s="19">
        <f t="shared" si="4"/>
        <v>3.723369070921237</v>
      </c>
      <c r="S18" s="19">
        <f t="shared" si="3"/>
        <v>5.817764173314432</v>
      </c>
      <c r="T18" s="19">
        <f t="shared" si="3"/>
        <v>8.377580409572781</v>
      </c>
      <c r="U18" s="19">
        <f t="shared" si="3"/>
        <v>11.402817779696283</v>
      </c>
      <c r="V18" s="19">
        <f t="shared" si="3"/>
        <v>14.893476283684947</v>
      </c>
      <c r="W18" s="19">
        <f t="shared" si="3"/>
        <v>18.84955592153876</v>
      </c>
      <c r="X18" s="19">
        <f t="shared" si="3"/>
        <v>23.271056693257727</v>
      </c>
      <c r="Y18" s="19">
        <f t="shared" si="3"/>
        <v>28.157978598841854</v>
      </c>
      <c r="Z18" s="19">
        <f t="shared" si="3"/>
        <v>33.510321638291124</v>
      </c>
      <c r="AA18" s="195">
        <f t="shared" si="5"/>
        <v>7.407407407407407</v>
      </c>
    </row>
    <row r="19" spans="2:27" ht="15" customHeight="1">
      <c r="B19" s="67">
        <v>36</v>
      </c>
      <c r="C19" s="7">
        <f t="shared" si="0"/>
        <v>7.990326755140281</v>
      </c>
      <c r="D19" s="19">
        <f t="shared" si="1"/>
        <v>10.17876019763093</v>
      </c>
      <c r="E19" s="19">
        <f t="shared" si="1"/>
        <v>20.35752039526186</v>
      </c>
      <c r="F19" s="19">
        <f t="shared" si="2"/>
        <v>30.536280592892794</v>
      </c>
      <c r="G19" s="19">
        <f t="shared" si="2"/>
        <v>40.71504079052372</v>
      </c>
      <c r="H19" s="19">
        <f t="shared" si="2"/>
        <v>50.89380098815465</v>
      </c>
      <c r="I19" s="19">
        <f t="shared" si="2"/>
        <v>61.07256118578559</v>
      </c>
      <c r="J19" s="19">
        <f t="shared" si="2"/>
        <v>71.25132138341651</v>
      </c>
      <c r="K19" s="19">
        <f t="shared" si="2"/>
        <v>81.43008158104745</v>
      </c>
      <c r="L19" s="19">
        <f t="shared" si="2"/>
        <v>91.60884177867838</v>
      </c>
      <c r="M19" s="179">
        <f t="shared" si="2"/>
        <v>101.7876019763093</v>
      </c>
      <c r="P19" s="188">
        <v>14</v>
      </c>
      <c r="Q19" s="19">
        <f t="shared" si="4"/>
        <v>2.019595277307724</v>
      </c>
      <c r="R19" s="19">
        <f t="shared" si="4"/>
        <v>3.590391604102621</v>
      </c>
      <c r="S19" s="19">
        <f t="shared" si="3"/>
        <v>5.609986881410345</v>
      </c>
      <c r="T19" s="19">
        <f t="shared" si="3"/>
        <v>8.078381109230897</v>
      </c>
      <c r="U19" s="19">
        <f t="shared" si="3"/>
        <v>10.995574287564272</v>
      </c>
      <c r="V19" s="19">
        <f t="shared" si="3"/>
        <v>14.361566416410485</v>
      </c>
      <c r="W19" s="19">
        <f t="shared" si="3"/>
        <v>18.17635749576952</v>
      </c>
      <c r="X19" s="19">
        <f t="shared" si="3"/>
        <v>22.43994752564138</v>
      </c>
      <c r="Y19" s="19">
        <f t="shared" si="3"/>
        <v>27.152336506026074</v>
      </c>
      <c r="Z19" s="19">
        <f t="shared" si="3"/>
        <v>32.313524436923586</v>
      </c>
      <c r="AA19" s="195">
        <f t="shared" si="5"/>
        <v>7.142857142857143</v>
      </c>
    </row>
    <row r="20" spans="2:27" ht="15" customHeight="1">
      <c r="B20" s="67">
        <v>38</v>
      </c>
      <c r="C20" s="7">
        <f t="shared" si="0"/>
        <v>8.902802341375436</v>
      </c>
      <c r="D20" s="19">
        <f t="shared" si="1"/>
        <v>11.341149479459153</v>
      </c>
      <c r="E20" s="19">
        <f t="shared" si="1"/>
        <v>22.682298958918306</v>
      </c>
      <c r="F20" s="19">
        <f aca="true" t="shared" si="6" ref="F20:M26">(PI()*($B20/10)^2)*F$3/4</f>
        <v>34.02344843837746</v>
      </c>
      <c r="G20" s="19">
        <f t="shared" si="6"/>
        <v>45.36459791783661</v>
      </c>
      <c r="H20" s="19">
        <f t="shared" si="6"/>
        <v>56.70574739729577</v>
      </c>
      <c r="I20" s="19">
        <f t="shared" si="6"/>
        <v>68.04689687675491</v>
      </c>
      <c r="J20" s="19">
        <f t="shared" si="6"/>
        <v>79.38804635621408</v>
      </c>
      <c r="K20" s="19">
        <f t="shared" si="6"/>
        <v>90.72919583567322</v>
      </c>
      <c r="L20" s="19">
        <f t="shared" si="6"/>
        <v>102.07034531513237</v>
      </c>
      <c r="M20" s="179">
        <f t="shared" si="6"/>
        <v>113.41149479459153</v>
      </c>
      <c r="P20" s="188">
        <v>14.5</v>
      </c>
      <c r="Q20" s="19">
        <f t="shared" si="4"/>
        <v>1.949954060848837</v>
      </c>
      <c r="R20" s="19">
        <f t="shared" si="4"/>
        <v>3.4665849970646</v>
      </c>
      <c r="S20" s="19">
        <f t="shared" si="3"/>
        <v>5.416539057913437</v>
      </c>
      <c r="T20" s="19">
        <f t="shared" si="3"/>
        <v>7.799816243395348</v>
      </c>
      <c r="U20" s="19">
        <f t="shared" si="3"/>
        <v>10.616416553510332</v>
      </c>
      <c r="V20" s="19">
        <f t="shared" si="3"/>
        <v>13.8663399882584</v>
      </c>
      <c r="W20" s="19">
        <f t="shared" si="3"/>
        <v>17.549586547639535</v>
      </c>
      <c r="X20" s="19">
        <f t="shared" si="3"/>
        <v>21.666156231653748</v>
      </c>
      <c r="Y20" s="19">
        <f t="shared" si="3"/>
        <v>26.216049040301037</v>
      </c>
      <c r="Z20" s="19">
        <f t="shared" si="3"/>
        <v>31.199264973581393</v>
      </c>
      <c r="AA20" s="195">
        <f t="shared" si="5"/>
        <v>6.896551724137931</v>
      </c>
    </row>
    <row r="21" spans="2:27" ht="15" customHeight="1">
      <c r="B21" s="67">
        <v>40</v>
      </c>
      <c r="C21" s="7">
        <f t="shared" si="0"/>
        <v>9.864600932271951</v>
      </c>
      <c r="D21" s="19">
        <f t="shared" si="1"/>
        <v>12.566370614359172</v>
      </c>
      <c r="E21" s="19">
        <f t="shared" si="1"/>
        <v>25.132741228718345</v>
      </c>
      <c r="F21" s="19">
        <f t="shared" si="6"/>
        <v>37.69911184307752</v>
      </c>
      <c r="G21" s="19">
        <f t="shared" si="6"/>
        <v>50.26548245743669</v>
      </c>
      <c r="H21" s="19">
        <f t="shared" si="6"/>
        <v>62.83185307179586</v>
      </c>
      <c r="I21" s="19">
        <f t="shared" si="6"/>
        <v>75.39822368615503</v>
      </c>
      <c r="J21" s="19">
        <f t="shared" si="6"/>
        <v>87.96459430051421</v>
      </c>
      <c r="K21" s="19">
        <f t="shared" si="6"/>
        <v>100.53096491487338</v>
      </c>
      <c r="L21" s="19">
        <f t="shared" si="6"/>
        <v>113.09733552923255</v>
      </c>
      <c r="M21" s="179">
        <f t="shared" si="6"/>
        <v>125.66370614359172</v>
      </c>
      <c r="P21" s="188">
        <v>15</v>
      </c>
      <c r="Q21" s="19">
        <f t="shared" si="4"/>
        <v>1.8849555921538759</v>
      </c>
      <c r="R21" s="19">
        <f t="shared" si="4"/>
        <v>3.351032163829113</v>
      </c>
      <c r="S21" s="19">
        <f t="shared" si="4"/>
        <v>5.235987755982989</v>
      </c>
      <c r="T21" s="19">
        <f t="shared" si="4"/>
        <v>7.5398223686155035</v>
      </c>
      <c r="U21" s="19">
        <f t="shared" si="4"/>
        <v>10.262536001726655</v>
      </c>
      <c r="V21" s="19">
        <f t="shared" si="4"/>
        <v>13.404128655316452</v>
      </c>
      <c r="W21" s="19">
        <f t="shared" si="4"/>
        <v>16.964600329384883</v>
      </c>
      <c r="X21" s="19">
        <f t="shared" si="4"/>
        <v>20.943951023931955</v>
      </c>
      <c r="Y21" s="19">
        <f t="shared" si="4"/>
        <v>25.34218073895767</v>
      </c>
      <c r="Z21" s="19">
        <f t="shared" si="4"/>
        <v>30.159289474462014</v>
      </c>
      <c r="AA21" s="195">
        <f t="shared" si="5"/>
        <v>6.666666666666667</v>
      </c>
    </row>
    <row r="22" spans="2:27" ht="15" customHeight="1">
      <c r="B22" s="67">
        <v>42</v>
      </c>
      <c r="C22" s="7">
        <f t="shared" si="0"/>
        <v>10.875722527829826</v>
      </c>
      <c r="D22" s="19">
        <f t="shared" si="1"/>
        <v>13.854423602330987</v>
      </c>
      <c r="E22" s="19">
        <f t="shared" si="1"/>
        <v>27.708847204661975</v>
      </c>
      <c r="F22" s="19">
        <f t="shared" si="6"/>
        <v>41.56327080699296</v>
      </c>
      <c r="G22" s="19">
        <f t="shared" si="6"/>
        <v>55.41769440932395</v>
      </c>
      <c r="H22" s="19">
        <f t="shared" si="6"/>
        <v>69.27211801165494</v>
      </c>
      <c r="I22" s="19">
        <f t="shared" si="6"/>
        <v>83.12654161398592</v>
      </c>
      <c r="J22" s="19">
        <f t="shared" si="6"/>
        <v>96.98096521631692</v>
      </c>
      <c r="K22" s="19">
        <f t="shared" si="6"/>
        <v>110.8353888186479</v>
      </c>
      <c r="L22" s="19">
        <f t="shared" si="6"/>
        <v>124.68981242097888</v>
      </c>
      <c r="M22" s="179">
        <f t="shared" si="6"/>
        <v>138.54423602330988</v>
      </c>
      <c r="P22" s="188">
        <v>15.5</v>
      </c>
      <c r="Q22" s="19">
        <f t="shared" si="4"/>
        <v>1.824150573052138</v>
      </c>
      <c r="R22" s="19">
        <f t="shared" si="4"/>
        <v>3.24293435209269</v>
      </c>
      <c r="S22" s="19">
        <f t="shared" si="4"/>
        <v>5.067084925144828</v>
      </c>
      <c r="T22" s="19">
        <f t="shared" si="4"/>
        <v>7.296602292208552</v>
      </c>
      <c r="U22" s="19">
        <f t="shared" si="4"/>
        <v>9.93148645328386</v>
      </c>
      <c r="V22" s="19">
        <f t="shared" si="4"/>
        <v>12.97173740837076</v>
      </c>
      <c r="W22" s="19">
        <f t="shared" si="4"/>
        <v>16.417355157469242</v>
      </c>
      <c r="X22" s="19">
        <f t="shared" si="4"/>
        <v>20.26833970057931</v>
      </c>
      <c r="Y22" s="19">
        <f t="shared" si="4"/>
        <v>24.524691037700972</v>
      </c>
      <c r="Z22" s="19">
        <f t="shared" si="4"/>
        <v>29.186409168834206</v>
      </c>
      <c r="AA22" s="195">
        <f t="shared" si="5"/>
        <v>6.451612903225806</v>
      </c>
    </row>
    <row r="23" spans="2:27" ht="15" customHeight="1">
      <c r="B23" s="67">
        <v>44</v>
      </c>
      <c r="C23" s="7">
        <f t="shared" si="0"/>
        <v>11.936167128049062</v>
      </c>
      <c r="D23" s="19">
        <f t="shared" si="1"/>
        <v>15.205308443374602</v>
      </c>
      <c r="E23" s="19">
        <f t="shared" si="1"/>
        <v>30.410616886749203</v>
      </c>
      <c r="F23" s="19">
        <f t="shared" si="6"/>
        <v>45.6159253301238</v>
      </c>
      <c r="G23" s="19">
        <f t="shared" si="6"/>
        <v>60.821233773498406</v>
      </c>
      <c r="H23" s="19">
        <f t="shared" si="6"/>
        <v>76.02654221687301</v>
      </c>
      <c r="I23" s="19">
        <f t="shared" si="6"/>
        <v>91.2318506602476</v>
      </c>
      <c r="J23" s="19">
        <f t="shared" si="6"/>
        <v>106.43715910362221</v>
      </c>
      <c r="K23" s="19">
        <f t="shared" si="6"/>
        <v>121.64246754699681</v>
      </c>
      <c r="L23" s="19">
        <f t="shared" si="6"/>
        <v>136.84777599037142</v>
      </c>
      <c r="M23" s="179">
        <f t="shared" si="6"/>
        <v>152.05308443374602</v>
      </c>
      <c r="P23" s="188">
        <v>16</v>
      </c>
      <c r="Q23" s="19">
        <f t="shared" si="4"/>
        <v>1.7671458676442586</v>
      </c>
      <c r="R23" s="19">
        <f t="shared" si="4"/>
        <v>3.1415926535897936</v>
      </c>
      <c r="S23" s="19">
        <f t="shared" si="4"/>
        <v>4.908738521234052</v>
      </c>
      <c r="T23" s="19">
        <f t="shared" si="4"/>
        <v>7.0685834705770345</v>
      </c>
      <c r="U23" s="19">
        <f t="shared" si="4"/>
        <v>9.621127501618739</v>
      </c>
      <c r="V23" s="19">
        <f t="shared" si="4"/>
        <v>12.566370614359174</v>
      </c>
      <c r="W23" s="19">
        <f t="shared" si="4"/>
        <v>15.904312808798329</v>
      </c>
      <c r="X23" s="19">
        <f t="shared" si="4"/>
        <v>19.634954084936208</v>
      </c>
      <c r="Y23" s="19">
        <f t="shared" si="4"/>
        <v>23.758294442772815</v>
      </c>
      <c r="Z23" s="19">
        <f t="shared" si="4"/>
        <v>28.274333882308138</v>
      </c>
      <c r="AA23" s="195">
        <f t="shared" si="5"/>
        <v>6.25</v>
      </c>
    </row>
    <row r="24" spans="2:27" ht="15" customHeight="1">
      <c r="B24" s="67">
        <v>46</v>
      </c>
      <c r="C24" s="7">
        <f t="shared" si="0"/>
        <v>13.045934732929652</v>
      </c>
      <c r="D24" s="19">
        <f t="shared" si="1"/>
        <v>16.619025137490002</v>
      </c>
      <c r="E24" s="19">
        <f t="shared" si="1"/>
        <v>33.238050274980004</v>
      </c>
      <c r="F24" s="19">
        <f t="shared" si="6"/>
        <v>49.85707541247001</v>
      </c>
      <c r="G24" s="19">
        <f t="shared" si="6"/>
        <v>66.47610054996001</v>
      </c>
      <c r="H24" s="19">
        <f t="shared" si="6"/>
        <v>83.09512568745001</v>
      </c>
      <c r="I24" s="19">
        <f t="shared" si="6"/>
        <v>99.71415082494002</v>
      </c>
      <c r="J24" s="19">
        <f t="shared" si="6"/>
        <v>116.33317596243002</v>
      </c>
      <c r="K24" s="19">
        <f t="shared" si="6"/>
        <v>132.95220109992002</v>
      </c>
      <c r="L24" s="19">
        <f t="shared" si="6"/>
        <v>149.57122623741003</v>
      </c>
      <c r="M24" s="179">
        <f t="shared" si="6"/>
        <v>166.19025137490001</v>
      </c>
      <c r="P24" s="188">
        <v>16.5</v>
      </c>
      <c r="Q24" s="19">
        <f t="shared" si="4"/>
        <v>1.7135959928671598</v>
      </c>
      <c r="R24" s="19">
        <f t="shared" si="4"/>
        <v>3.0463928762082846</v>
      </c>
      <c r="S24" s="19">
        <f t="shared" si="4"/>
        <v>4.759988869075444</v>
      </c>
      <c r="T24" s="19">
        <f t="shared" si="4"/>
        <v>6.854383971468639</v>
      </c>
      <c r="U24" s="19">
        <f t="shared" si="4"/>
        <v>9.329578183387868</v>
      </c>
      <c r="V24" s="19">
        <f t="shared" si="4"/>
        <v>12.185571504833138</v>
      </c>
      <c r="W24" s="19">
        <f t="shared" si="4"/>
        <v>15.42236393580444</v>
      </c>
      <c r="X24" s="19">
        <f t="shared" si="4"/>
        <v>19.039955476301778</v>
      </c>
      <c r="Y24" s="19">
        <f t="shared" si="4"/>
        <v>23.038346126325155</v>
      </c>
      <c r="Z24" s="19">
        <f t="shared" si="4"/>
        <v>27.417535885874557</v>
      </c>
      <c r="AA24" s="195">
        <f t="shared" si="5"/>
        <v>6.0606060606060606</v>
      </c>
    </row>
    <row r="25" spans="2:27" ht="15" customHeight="1">
      <c r="B25" s="67">
        <v>48</v>
      </c>
      <c r="C25" s="7">
        <f t="shared" si="0"/>
        <v>14.20502534247161</v>
      </c>
      <c r="D25" s="19">
        <f t="shared" si="1"/>
        <v>18.09557368467721</v>
      </c>
      <c r="E25" s="19">
        <f t="shared" si="1"/>
        <v>36.19114736935442</v>
      </c>
      <c r="F25" s="19">
        <f t="shared" si="6"/>
        <v>54.28672105403163</v>
      </c>
      <c r="G25" s="19">
        <f t="shared" si="6"/>
        <v>72.38229473870884</v>
      </c>
      <c r="H25" s="19">
        <f t="shared" si="6"/>
        <v>90.47786842338604</v>
      </c>
      <c r="I25" s="19">
        <f t="shared" si="6"/>
        <v>108.57344210806326</v>
      </c>
      <c r="J25" s="19">
        <f t="shared" si="6"/>
        <v>126.66901579274047</v>
      </c>
      <c r="K25" s="19">
        <f t="shared" si="6"/>
        <v>144.76458947741767</v>
      </c>
      <c r="L25" s="19">
        <f t="shared" si="6"/>
        <v>162.8601631620949</v>
      </c>
      <c r="M25" s="179">
        <f t="shared" si="6"/>
        <v>180.95573684677208</v>
      </c>
      <c r="P25" s="188">
        <v>17</v>
      </c>
      <c r="Q25" s="19">
        <f t="shared" si="4"/>
        <v>1.663196110724008</v>
      </c>
      <c r="R25" s="19">
        <f t="shared" si="4"/>
        <v>2.9567930857315705</v>
      </c>
      <c r="S25" s="19">
        <f t="shared" si="4"/>
        <v>4.619989196455578</v>
      </c>
      <c r="T25" s="19">
        <f t="shared" si="4"/>
        <v>6.652784442896032</v>
      </c>
      <c r="U25" s="19">
        <f t="shared" si="4"/>
        <v>9.05517882505293</v>
      </c>
      <c r="V25" s="19">
        <f t="shared" si="4"/>
        <v>11.827172342926282</v>
      </c>
      <c r="W25" s="19">
        <f t="shared" si="4"/>
        <v>14.968764996516073</v>
      </c>
      <c r="X25" s="19">
        <f t="shared" si="4"/>
        <v>18.479956785822313</v>
      </c>
      <c r="Y25" s="19">
        <f t="shared" si="4"/>
        <v>22.360747710845004</v>
      </c>
      <c r="Z25" s="19">
        <f t="shared" si="4"/>
        <v>26.61113777158413</v>
      </c>
      <c r="AA25" s="195">
        <f t="shared" si="5"/>
        <v>5.882352941176471</v>
      </c>
    </row>
    <row r="26" spans="2:27" ht="15" customHeight="1" thickBot="1">
      <c r="B26" s="69">
        <v>50</v>
      </c>
      <c r="C26" s="10">
        <f t="shared" si="0"/>
        <v>15.413438956674923</v>
      </c>
      <c r="D26" s="20">
        <f t="shared" si="1"/>
        <v>19.634954084936208</v>
      </c>
      <c r="E26" s="20">
        <f t="shared" si="1"/>
        <v>39.269908169872416</v>
      </c>
      <c r="F26" s="20">
        <f t="shared" si="6"/>
        <v>58.90486225480862</v>
      </c>
      <c r="G26" s="20">
        <f t="shared" si="6"/>
        <v>78.53981633974483</v>
      </c>
      <c r="H26" s="20">
        <f t="shared" si="6"/>
        <v>98.17477042468104</v>
      </c>
      <c r="I26" s="20">
        <f t="shared" si="6"/>
        <v>117.80972450961724</v>
      </c>
      <c r="J26" s="20">
        <f t="shared" si="6"/>
        <v>137.44467859455347</v>
      </c>
      <c r="K26" s="20">
        <f t="shared" si="6"/>
        <v>157.07963267948966</v>
      </c>
      <c r="L26" s="20">
        <f t="shared" si="6"/>
        <v>176.71458676442586</v>
      </c>
      <c r="M26" s="180">
        <f t="shared" si="6"/>
        <v>196.34954084936209</v>
      </c>
      <c r="P26" s="188">
        <v>17.5</v>
      </c>
      <c r="Q26" s="19">
        <f t="shared" si="4"/>
        <v>1.6156762218461793</v>
      </c>
      <c r="R26" s="19">
        <f t="shared" si="4"/>
        <v>2.872313283282097</v>
      </c>
      <c r="S26" s="19">
        <f t="shared" si="4"/>
        <v>4.487989505128276</v>
      </c>
      <c r="T26" s="19">
        <f t="shared" si="4"/>
        <v>6.462704887384717</v>
      </c>
      <c r="U26" s="19">
        <f t="shared" si="4"/>
        <v>8.796459430051419</v>
      </c>
      <c r="V26" s="19">
        <f t="shared" si="4"/>
        <v>11.489253133128388</v>
      </c>
      <c r="W26" s="19">
        <f t="shared" si="4"/>
        <v>14.541085996615616</v>
      </c>
      <c r="X26" s="19">
        <f t="shared" si="4"/>
        <v>17.951958020513104</v>
      </c>
      <c r="Y26" s="19">
        <f t="shared" si="4"/>
        <v>21.72186920482086</v>
      </c>
      <c r="Z26" s="19">
        <f t="shared" si="4"/>
        <v>25.85081954953887</v>
      </c>
      <c r="AA26" s="195">
        <f t="shared" si="5"/>
        <v>5.714285714285714</v>
      </c>
    </row>
    <row r="27" spans="16:27" ht="13.5" thickTop="1">
      <c r="P27" s="188">
        <v>18</v>
      </c>
      <c r="Q27" s="19">
        <f t="shared" si="4"/>
        <v>1.5707963267948966</v>
      </c>
      <c r="R27" s="19">
        <f t="shared" si="4"/>
        <v>2.7925268031909276</v>
      </c>
      <c r="S27" s="19">
        <f t="shared" si="4"/>
        <v>4.363323129985824</v>
      </c>
      <c r="T27" s="19">
        <f t="shared" si="4"/>
        <v>6.283185307179586</v>
      </c>
      <c r="U27" s="19">
        <f t="shared" si="4"/>
        <v>8.552113334772212</v>
      </c>
      <c r="V27" s="19">
        <f t="shared" si="4"/>
        <v>11.17010721276371</v>
      </c>
      <c r="W27" s="19">
        <f t="shared" si="4"/>
        <v>14.13716694115407</v>
      </c>
      <c r="X27" s="19">
        <f t="shared" si="4"/>
        <v>17.453292519943297</v>
      </c>
      <c r="Y27" s="19">
        <f t="shared" si="4"/>
        <v>21.11848394913139</v>
      </c>
      <c r="Z27" s="19">
        <f t="shared" si="4"/>
        <v>25.132741228718345</v>
      </c>
      <c r="AA27" s="195">
        <f t="shared" si="5"/>
        <v>5.555555555555555</v>
      </c>
    </row>
    <row r="28" spans="2:27" ht="19.5" customHeight="1" thickBot="1">
      <c r="B28" s="351" t="s">
        <v>580</v>
      </c>
      <c r="C28" s="351"/>
      <c r="D28" s="351"/>
      <c r="E28" s="351"/>
      <c r="F28" s="351"/>
      <c r="G28" s="351"/>
      <c r="H28" s="351"/>
      <c r="I28" s="351"/>
      <c r="J28" s="351"/>
      <c r="K28" s="351"/>
      <c r="L28" s="351"/>
      <c r="M28" s="351"/>
      <c r="N28" s="351"/>
      <c r="P28" s="188">
        <v>18.5</v>
      </c>
      <c r="Q28" s="19">
        <f t="shared" si="4"/>
        <v>1.528342372016656</v>
      </c>
      <c r="R28" s="19">
        <f t="shared" si="4"/>
        <v>2.717053105807389</v>
      </c>
      <c r="S28" s="19">
        <f t="shared" si="4"/>
        <v>4.245395477824045</v>
      </c>
      <c r="T28" s="19">
        <f t="shared" si="4"/>
        <v>6.113369488066624</v>
      </c>
      <c r="U28" s="19">
        <f t="shared" si="4"/>
        <v>8.320975136535125</v>
      </c>
      <c r="V28" s="19">
        <f t="shared" si="4"/>
        <v>10.868212423229556</v>
      </c>
      <c r="W28" s="19">
        <f t="shared" si="4"/>
        <v>13.755081348149906</v>
      </c>
      <c r="X28" s="19">
        <f t="shared" si="4"/>
        <v>16.98158191129618</v>
      </c>
      <c r="Y28" s="19">
        <f t="shared" si="4"/>
        <v>20.54771411266838</v>
      </c>
      <c r="Z28" s="19">
        <f t="shared" si="4"/>
        <v>24.453477952266496</v>
      </c>
      <c r="AA28" s="195">
        <f t="shared" si="5"/>
        <v>5.405405405405405</v>
      </c>
    </row>
    <row r="29" spans="2:27" ht="13.5" thickTop="1">
      <c r="B29" s="386" t="s">
        <v>581</v>
      </c>
      <c r="C29" s="395" t="s">
        <v>578</v>
      </c>
      <c r="D29" s="395"/>
      <c r="E29" s="395"/>
      <c r="F29" s="395"/>
      <c r="G29" s="395"/>
      <c r="H29" s="395"/>
      <c r="I29" s="395"/>
      <c r="J29" s="395"/>
      <c r="K29" s="395"/>
      <c r="L29" s="395"/>
      <c r="M29" s="395"/>
      <c r="N29" s="396"/>
      <c r="P29" s="188">
        <v>19</v>
      </c>
      <c r="Q29" s="19">
        <f t="shared" si="4"/>
        <v>1.4881228359109546</v>
      </c>
      <c r="R29" s="19">
        <f t="shared" si="4"/>
        <v>2.645551708286142</v>
      </c>
      <c r="S29" s="19">
        <f t="shared" si="4"/>
        <v>4.133674544197096</v>
      </c>
      <c r="T29" s="19">
        <f t="shared" si="4"/>
        <v>5.9524913436438185</v>
      </c>
      <c r="U29" s="19">
        <f t="shared" si="4"/>
        <v>8.102002106626307</v>
      </c>
      <c r="V29" s="19">
        <f t="shared" si="4"/>
        <v>10.582206833144568</v>
      </c>
      <c r="W29" s="19">
        <f t="shared" si="4"/>
        <v>13.393105523198592</v>
      </c>
      <c r="X29" s="19">
        <f t="shared" si="4"/>
        <v>16.534698176788385</v>
      </c>
      <c r="Y29" s="19">
        <f t="shared" si="4"/>
        <v>20.00698479391395</v>
      </c>
      <c r="Z29" s="19">
        <f t="shared" si="4"/>
        <v>23.809965374575274</v>
      </c>
      <c r="AA29" s="195">
        <f t="shared" si="5"/>
        <v>5.2631578947368425</v>
      </c>
    </row>
    <row r="30" spans="2:27" ht="12.75">
      <c r="B30" s="387"/>
      <c r="C30" s="392">
        <v>3</v>
      </c>
      <c r="D30" s="350"/>
      <c r="E30" s="350">
        <v>4</v>
      </c>
      <c r="F30" s="350"/>
      <c r="G30" s="350">
        <v>5</v>
      </c>
      <c r="H30" s="350"/>
      <c r="I30" s="350">
        <v>6</v>
      </c>
      <c r="J30" s="350"/>
      <c r="K30" s="393">
        <v>7</v>
      </c>
      <c r="L30" s="393"/>
      <c r="M30" s="393">
        <v>8</v>
      </c>
      <c r="N30" s="394"/>
      <c r="P30" s="188">
        <v>19.5</v>
      </c>
      <c r="Q30" s="19">
        <f t="shared" si="4"/>
        <v>1.4499658401183662</v>
      </c>
      <c r="R30" s="19">
        <f t="shared" si="4"/>
        <v>2.5777170490993178</v>
      </c>
      <c r="S30" s="19">
        <f t="shared" si="4"/>
        <v>4.027682889217684</v>
      </c>
      <c r="T30" s="19">
        <f t="shared" si="4"/>
        <v>5.799863360473465</v>
      </c>
      <c r="U30" s="19">
        <f t="shared" si="4"/>
        <v>7.894258462866658</v>
      </c>
      <c r="V30" s="19">
        <f t="shared" si="4"/>
        <v>10.310868196397271</v>
      </c>
      <c r="W30" s="19">
        <f t="shared" si="4"/>
        <v>13.049692561065296</v>
      </c>
      <c r="X30" s="19">
        <f t="shared" si="4"/>
        <v>16.110731556870736</v>
      </c>
      <c r="Y30" s="19">
        <f t="shared" si="4"/>
        <v>19.493985183813592</v>
      </c>
      <c r="Z30" s="19">
        <f t="shared" si="4"/>
        <v>23.19945344189386</v>
      </c>
      <c r="AA30" s="195">
        <f t="shared" si="5"/>
        <v>5.128205128205129</v>
      </c>
    </row>
    <row r="31" spans="2:27" ht="12.75">
      <c r="B31" s="181" t="s">
        <v>22</v>
      </c>
      <c r="C31" s="158" t="s">
        <v>582</v>
      </c>
      <c r="D31" s="158" t="s">
        <v>583</v>
      </c>
      <c r="E31" s="158" t="s">
        <v>582</v>
      </c>
      <c r="F31" s="158" t="s">
        <v>583</v>
      </c>
      <c r="G31" s="158" t="s">
        <v>582</v>
      </c>
      <c r="H31" s="158" t="s">
        <v>583</v>
      </c>
      <c r="I31" s="158" t="s">
        <v>582</v>
      </c>
      <c r="J31" s="158" t="s">
        <v>583</v>
      </c>
      <c r="K31" s="158" t="s">
        <v>582</v>
      </c>
      <c r="L31" s="158" t="s">
        <v>583</v>
      </c>
      <c r="M31" s="158" t="s">
        <v>582</v>
      </c>
      <c r="N31" s="118" t="s">
        <v>583</v>
      </c>
      <c r="P31" s="188">
        <v>20</v>
      </c>
      <c r="Q31" s="19">
        <f t="shared" si="4"/>
        <v>1.413716694115407</v>
      </c>
      <c r="R31" s="19">
        <f t="shared" si="4"/>
        <v>2.513274122871835</v>
      </c>
      <c r="S31" s="19">
        <f t="shared" si="4"/>
        <v>3.9269908169872414</v>
      </c>
      <c r="T31" s="19">
        <f t="shared" si="4"/>
        <v>5.654866776461628</v>
      </c>
      <c r="U31" s="19">
        <f t="shared" si="4"/>
        <v>7.696902001294991</v>
      </c>
      <c r="V31" s="19">
        <f t="shared" si="4"/>
        <v>10.05309649148734</v>
      </c>
      <c r="W31" s="19">
        <f t="shared" si="4"/>
        <v>12.723450247038663</v>
      </c>
      <c r="X31" s="19">
        <f t="shared" si="4"/>
        <v>15.707963267948966</v>
      </c>
      <c r="Y31" s="19">
        <f t="shared" si="4"/>
        <v>19.006635554218253</v>
      </c>
      <c r="Z31" s="19">
        <f t="shared" si="4"/>
        <v>22.61946710584651</v>
      </c>
      <c r="AA31" s="195">
        <f t="shared" si="5"/>
        <v>5</v>
      </c>
    </row>
    <row r="32" spans="2:27" ht="12.75">
      <c r="B32" s="67">
        <v>12</v>
      </c>
      <c r="C32" s="17">
        <v>11.8</v>
      </c>
      <c r="D32" s="17">
        <f>(PI()*($B32/10)^2)*C$30/4</f>
        <v>3.392920065876977</v>
      </c>
      <c r="E32" s="17">
        <f>C32+3.2</f>
        <v>15</v>
      </c>
      <c r="F32" s="17">
        <f>(PI()*($B32/10)^2)*E$30/4</f>
        <v>4.523893421169302</v>
      </c>
      <c r="G32" s="17">
        <f>E32+3.2</f>
        <v>18.2</v>
      </c>
      <c r="H32" s="17">
        <f>(PI()*($B32/10)^2)*G$30/4</f>
        <v>5.654866776461628</v>
      </c>
      <c r="I32" s="17">
        <f>G32+3.2</f>
        <v>21.4</v>
      </c>
      <c r="J32" s="17">
        <f aca="true" t="shared" si="7" ref="J32:J46">(PI()*($B32/10)^2)*I$30/4</f>
        <v>6.785840131753954</v>
      </c>
      <c r="K32" s="17">
        <f>I32+3.2</f>
        <v>24.599999999999998</v>
      </c>
      <c r="L32" s="17">
        <f aca="true" t="shared" si="8" ref="L32:L46">(PI()*($B32/10)^2)*K$30/4</f>
        <v>7.916813487046279</v>
      </c>
      <c r="M32" s="17">
        <f>K32+3.2</f>
        <v>27.799999999999997</v>
      </c>
      <c r="N32" s="29">
        <f aca="true" t="shared" si="9" ref="N32:N46">(PI()*($B32/10)^2)*M$30/4</f>
        <v>9.047786842338605</v>
      </c>
      <c r="P32" s="188">
        <v>21</v>
      </c>
      <c r="Q32" s="19">
        <f t="shared" si="4"/>
        <v>1.3463968515384828</v>
      </c>
      <c r="R32" s="19">
        <f t="shared" si="4"/>
        <v>2.3935944027350806</v>
      </c>
      <c r="S32" s="19">
        <f t="shared" si="4"/>
        <v>3.7399912542735634</v>
      </c>
      <c r="T32" s="19">
        <f t="shared" si="4"/>
        <v>5.385587406153931</v>
      </c>
      <c r="U32" s="19">
        <f t="shared" si="4"/>
        <v>7.330382858376182</v>
      </c>
      <c r="V32" s="19">
        <f t="shared" si="4"/>
        <v>9.574377610940322</v>
      </c>
      <c r="W32" s="19">
        <f t="shared" si="4"/>
        <v>12.117571663846345</v>
      </c>
      <c r="X32" s="19">
        <f t="shared" si="4"/>
        <v>14.959965017094254</v>
      </c>
      <c r="Y32" s="19">
        <f t="shared" si="4"/>
        <v>18.10155767068405</v>
      </c>
      <c r="Z32" s="19">
        <f t="shared" si="4"/>
        <v>21.542349624615724</v>
      </c>
      <c r="AA32" s="195">
        <f t="shared" si="5"/>
        <v>4.761904761904762</v>
      </c>
    </row>
    <row r="33" spans="2:27" ht="12.75">
      <c r="B33" s="67">
        <v>14</v>
      </c>
      <c r="C33" s="17">
        <v>12.4</v>
      </c>
      <c r="D33" s="17">
        <f>(PI()*($B33/10)^2)*C$30/4</f>
        <v>4.618141200776995</v>
      </c>
      <c r="E33" s="17">
        <f>C33+3.4</f>
        <v>15.8</v>
      </c>
      <c r="F33" s="17">
        <f aca="true" t="shared" si="10" ref="F33:H46">(PI()*($B33/10)^2)*E$30/4</f>
        <v>6.157521601035993</v>
      </c>
      <c r="G33" s="17">
        <f>E33+3.4</f>
        <v>19.2</v>
      </c>
      <c r="H33" s="17">
        <f t="shared" si="10"/>
        <v>7.696902001294992</v>
      </c>
      <c r="I33" s="17">
        <f>G33+3.4</f>
        <v>22.599999999999998</v>
      </c>
      <c r="J33" s="17">
        <f t="shared" si="7"/>
        <v>9.23628240155399</v>
      </c>
      <c r="K33" s="17">
        <f>I33+3.4</f>
        <v>25.999999999999996</v>
      </c>
      <c r="L33" s="17">
        <f t="shared" si="8"/>
        <v>10.775662801812988</v>
      </c>
      <c r="M33" s="17">
        <f>K33+3.4</f>
        <v>29.399999999999995</v>
      </c>
      <c r="N33" s="29">
        <f t="shared" si="9"/>
        <v>12.315043202071987</v>
      </c>
      <c r="P33" s="188">
        <v>22</v>
      </c>
      <c r="Q33" s="19">
        <f t="shared" si="4"/>
        <v>1.2851969946503699</v>
      </c>
      <c r="R33" s="19">
        <f t="shared" si="4"/>
        <v>2.2847946571562137</v>
      </c>
      <c r="S33" s="19">
        <f t="shared" si="4"/>
        <v>3.5699916518065833</v>
      </c>
      <c r="T33" s="19">
        <f t="shared" si="4"/>
        <v>5.140787978601479</v>
      </c>
      <c r="U33" s="19">
        <f t="shared" si="4"/>
        <v>6.997183637540901</v>
      </c>
      <c r="V33" s="19">
        <f t="shared" si="4"/>
        <v>9.139178628624855</v>
      </c>
      <c r="W33" s="19">
        <f t="shared" si="4"/>
        <v>11.56677295185333</v>
      </c>
      <c r="X33" s="19">
        <f t="shared" si="4"/>
        <v>14.279966607226333</v>
      </c>
      <c r="Y33" s="19">
        <f t="shared" si="4"/>
        <v>17.278759594743864</v>
      </c>
      <c r="Z33" s="19">
        <f t="shared" si="4"/>
        <v>20.563151914405918</v>
      </c>
      <c r="AA33" s="195">
        <f t="shared" si="5"/>
        <v>4.545454545454546</v>
      </c>
    </row>
    <row r="34" spans="2:27" ht="12.75">
      <c r="B34" s="67">
        <v>16</v>
      </c>
      <c r="C34" s="17">
        <v>13</v>
      </c>
      <c r="D34" s="17">
        <f aca="true" t="shared" si="11" ref="D34:D46">(PI()*($B34/10)^2)*C$30/4</f>
        <v>6.031857894892403</v>
      </c>
      <c r="E34" s="17">
        <f>C34+3.6</f>
        <v>16.6</v>
      </c>
      <c r="F34" s="17">
        <f t="shared" si="10"/>
        <v>8.042477193189871</v>
      </c>
      <c r="G34" s="17">
        <f>E34+3.6</f>
        <v>20.200000000000003</v>
      </c>
      <c r="H34" s="17">
        <f t="shared" si="10"/>
        <v>10.053096491487338</v>
      </c>
      <c r="I34" s="17">
        <f>G34+3.6</f>
        <v>23.800000000000004</v>
      </c>
      <c r="J34" s="17">
        <f t="shared" si="7"/>
        <v>12.063715789784807</v>
      </c>
      <c r="K34" s="17">
        <f>I34+3.6</f>
        <v>27.400000000000006</v>
      </c>
      <c r="L34" s="17">
        <f t="shared" si="8"/>
        <v>14.074335088082275</v>
      </c>
      <c r="M34" s="17">
        <f>K34+3.6</f>
        <v>31.000000000000007</v>
      </c>
      <c r="N34" s="29">
        <f t="shared" si="9"/>
        <v>16.084954386379742</v>
      </c>
      <c r="P34" s="188">
        <v>23</v>
      </c>
      <c r="Q34" s="19">
        <f t="shared" si="4"/>
        <v>1.2293188644481798</v>
      </c>
      <c r="R34" s="19">
        <f t="shared" si="4"/>
        <v>2.185455759018987</v>
      </c>
      <c r="S34" s="19">
        <f t="shared" si="4"/>
        <v>3.4147746234671668</v>
      </c>
      <c r="T34" s="19">
        <f t="shared" si="4"/>
        <v>4.917275457792719</v>
      </c>
      <c r="U34" s="19">
        <f t="shared" si="4"/>
        <v>6.692958261995645</v>
      </c>
      <c r="V34" s="19">
        <f t="shared" si="4"/>
        <v>8.741823036075948</v>
      </c>
      <c r="W34" s="19">
        <f t="shared" si="4"/>
        <v>11.06386978003362</v>
      </c>
      <c r="X34" s="19">
        <f t="shared" si="4"/>
        <v>13.659098493868667</v>
      </c>
      <c r="Y34" s="19">
        <f t="shared" si="4"/>
        <v>16.527509177581088</v>
      </c>
      <c r="Z34" s="19">
        <f t="shared" si="4"/>
        <v>19.669101831170877</v>
      </c>
      <c r="AA34" s="195">
        <f t="shared" si="5"/>
        <v>4.3478260869565215</v>
      </c>
    </row>
    <row r="35" spans="2:27" ht="12.75">
      <c r="B35" s="67">
        <v>18</v>
      </c>
      <c r="C35" s="17">
        <v>13.6</v>
      </c>
      <c r="D35" s="17">
        <f t="shared" si="11"/>
        <v>7.6340701482231985</v>
      </c>
      <c r="E35" s="17">
        <f>C35+3.8</f>
        <v>17.4</v>
      </c>
      <c r="F35" s="17">
        <f t="shared" si="10"/>
        <v>10.17876019763093</v>
      </c>
      <c r="G35" s="17">
        <f>E35+3.8</f>
        <v>21.2</v>
      </c>
      <c r="H35" s="17">
        <f t="shared" si="10"/>
        <v>12.723450247038663</v>
      </c>
      <c r="I35" s="17">
        <f>G35+3.8</f>
        <v>25</v>
      </c>
      <c r="J35" s="17">
        <f t="shared" si="7"/>
        <v>15.268140296446397</v>
      </c>
      <c r="K35" s="17">
        <f>I35+3.8</f>
        <v>28.8</v>
      </c>
      <c r="L35" s="17">
        <f t="shared" si="8"/>
        <v>17.812830345854128</v>
      </c>
      <c r="M35" s="17">
        <f>K35+3.8</f>
        <v>32.6</v>
      </c>
      <c r="N35" s="29">
        <f t="shared" si="9"/>
        <v>20.35752039526186</v>
      </c>
      <c r="P35" s="188">
        <v>24</v>
      </c>
      <c r="Q35" s="19">
        <f t="shared" si="4"/>
        <v>1.1780972450961724</v>
      </c>
      <c r="R35" s="19">
        <f t="shared" si="4"/>
        <v>2.0943951023931957</v>
      </c>
      <c r="S35" s="19">
        <f t="shared" si="4"/>
        <v>3.272492347489368</v>
      </c>
      <c r="T35" s="19">
        <f t="shared" si="4"/>
        <v>4.71238898038469</v>
      </c>
      <c r="U35" s="19">
        <f t="shared" si="4"/>
        <v>6.414085001079159</v>
      </c>
      <c r="V35" s="19">
        <f t="shared" si="4"/>
        <v>8.377580409572783</v>
      </c>
      <c r="W35" s="19">
        <f t="shared" si="4"/>
        <v>10.602875205865553</v>
      </c>
      <c r="X35" s="19">
        <f t="shared" si="4"/>
        <v>13.089969389957473</v>
      </c>
      <c r="Y35" s="19">
        <f t="shared" si="4"/>
        <v>15.838862961848543</v>
      </c>
      <c r="Z35" s="19">
        <f t="shared" si="4"/>
        <v>18.84955592153876</v>
      </c>
      <c r="AA35" s="195">
        <f t="shared" si="5"/>
        <v>4.166666666666667</v>
      </c>
    </row>
    <row r="36" spans="2:27" ht="12.75">
      <c r="B36" s="67">
        <v>20</v>
      </c>
      <c r="C36" s="17">
        <v>14.6</v>
      </c>
      <c r="D36" s="17">
        <f t="shared" si="11"/>
        <v>9.42477796076938</v>
      </c>
      <c r="E36" s="17">
        <f>C36+4</f>
        <v>18.6</v>
      </c>
      <c r="F36" s="17">
        <f t="shared" si="10"/>
        <v>12.566370614359172</v>
      </c>
      <c r="G36" s="17">
        <f>E36+4</f>
        <v>22.6</v>
      </c>
      <c r="H36" s="17">
        <f t="shared" si="10"/>
        <v>15.707963267948966</v>
      </c>
      <c r="I36" s="17">
        <f>G36+4</f>
        <v>26.6</v>
      </c>
      <c r="J36" s="17">
        <f t="shared" si="7"/>
        <v>18.84955592153876</v>
      </c>
      <c r="K36" s="17">
        <f>I36+4</f>
        <v>30.6</v>
      </c>
      <c r="L36" s="17">
        <f t="shared" si="8"/>
        <v>21.991148575128552</v>
      </c>
      <c r="M36" s="17">
        <f>K36+4</f>
        <v>34.6</v>
      </c>
      <c r="N36" s="29">
        <f t="shared" si="9"/>
        <v>25.132741228718345</v>
      </c>
      <c r="P36" s="188">
        <v>25</v>
      </c>
      <c r="Q36" s="19">
        <f t="shared" si="4"/>
        <v>1.1309733552923256</v>
      </c>
      <c r="R36" s="19">
        <f t="shared" si="4"/>
        <v>2.0106192982974678</v>
      </c>
      <c r="S36" s="19">
        <f t="shared" si="4"/>
        <v>3.141592653589793</v>
      </c>
      <c r="T36" s="19">
        <f t="shared" si="4"/>
        <v>4.523893421169302</v>
      </c>
      <c r="U36" s="19">
        <f t="shared" si="4"/>
        <v>6.1575216010359926</v>
      </c>
      <c r="V36" s="19">
        <f t="shared" si="4"/>
        <v>8.042477193189871</v>
      </c>
      <c r="W36" s="19">
        <f t="shared" si="4"/>
        <v>10.17876019763093</v>
      </c>
      <c r="X36" s="19">
        <f t="shared" si="4"/>
        <v>12.566370614359172</v>
      </c>
      <c r="Y36" s="19">
        <f t="shared" si="4"/>
        <v>15.205308443374602</v>
      </c>
      <c r="Z36" s="19">
        <f t="shared" si="4"/>
        <v>18.09557368467721</v>
      </c>
      <c r="AA36" s="195">
        <f t="shared" si="5"/>
        <v>4</v>
      </c>
    </row>
    <row r="37" spans="2:27" ht="12.75">
      <c r="B37" s="67">
        <v>22</v>
      </c>
      <c r="C37" s="17">
        <v>15.6</v>
      </c>
      <c r="D37" s="17">
        <f t="shared" si="11"/>
        <v>11.40398133253095</v>
      </c>
      <c r="E37" s="17">
        <f>C37+4.4</f>
        <v>20</v>
      </c>
      <c r="F37" s="17">
        <f t="shared" si="10"/>
        <v>15.205308443374602</v>
      </c>
      <c r="G37" s="17">
        <f>E37+4.4</f>
        <v>24.4</v>
      </c>
      <c r="H37" s="17">
        <f t="shared" si="10"/>
        <v>19.006635554218253</v>
      </c>
      <c r="I37" s="17">
        <f>G37+4.4</f>
        <v>28.799999999999997</v>
      </c>
      <c r="J37" s="17">
        <f t="shared" si="7"/>
        <v>22.8079626650619</v>
      </c>
      <c r="K37" s="17">
        <f>I37+4.4</f>
        <v>33.199999999999996</v>
      </c>
      <c r="L37" s="17">
        <f t="shared" si="8"/>
        <v>26.609289775905552</v>
      </c>
      <c r="M37" s="17">
        <f>K37+4.4</f>
        <v>37.599999999999994</v>
      </c>
      <c r="N37" s="29">
        <f t="shared" si="9"/>
        <v>30.410616886749203</v>
      </c>
      <c r="P37" s="188">
        <v>26</v>
      </c>
      <c r="Q37" s="19">
        <f t="shared" si="4"/>
        <v>1.0874743800887745</v>
      </c>
      <c r="R37" s="19">
        <f t="shared" si="4"/>
        <v>1.9332877868244884</v>
      </c>
      <c r="S37" s="19">
        <f t="shared" si="4"/>
        <v>3.0207621669132627</v>
      </c>
      <c r="T37" s="19">
        <f t="shared" si="4"/>
        <v>4.349897520355098</v>
      </c>
      <c r="U37" s="19">
        <f t="shared" si="4"/>
        <v>5.920693847149993</v>
      </c>
      <c r="V37" s="19">
        <f t="shared" si="4"/>
        <v>7.733151147297954</v>
      </c>
      <c r="W37" s="19">
        <f t="shared" si="4"/>
        <v>9.787269420798971</v>
      </c>
      <c r="X37" s="19">
        <f t="shared" si="4"/>
        <v>12.08304866765305</v>
      </c>
      <c r="Y37" s="19">
        <f t="shared" si="4"/>
        <v>14.620488887860194</v>
      </c>
      <c r="Z37" s="19">
        <f t="shared" si="4"/>
        <v>17.399590081420392</v>
      </c>
      <c r="AA37" s="195">
        <f t="shared" si="5"/>
        <v>3.8461538461538463</v>
      </c>
    </row>
    <row r="38" spans="2:27" ht="12.75">
      <c r="B38" s="67">
        <v>24</v>
      </c>
      <c r="C38" s="17">
        <v>16.6</v>
      </c>
      <c r="D38" s="17">
        <f t="shared" si="11"/>
        <v>13.571680263507908</v>
      </c>
      <c r="E38" s="17">
        <f>C38+4.8</f>
        <v>21.400000000000002</v>
      </c>
      <c r="F38" s="17">
        <f t="shared" si="10"/>
        <v>18.09557368467721</v>
      </c>
      <c r="G38" s="17">
        <f>E38+4.8</f>
        <v>26.200000000000003</v>
      </c>
      <c r="H38" s="17">
        <f t="shared" si="10"/>
        <v>22.61946710584651</v>
      </c>
      <c r="I38" s="17">
        <f>G38+4.8</f>
        <v>31.000000000000004</v>
      </c>
      <c r="J38" s="17">
        <f t="shared" si="7"/>
        <v>27.143360527015815</v>
      </c>
      <c r="K38" s="17">
        <f>I38+4.8</f>
        <v>35.800000000000004</v>
      </c>
      <c r="L38" s="17">
        <f t="shared" si="8"/>
        <v>31.667253948185117</v>
      </c>
      <c r="M38" s="17">
        <f>K38+4.8</f>
        <v>40.6</v>
      </c>
      <c r="N38" s="29">
        <f t="shared" si="9"/>
        <v>36.19114736935442</v>
      </c>
      <c r="P38" s="188">
        <v>27</v>
      </c>
      <c r="Q38" s="19">
        <f t="shared" si="4"/>
        <v>1.0471975511965976</v>
      </c>
      <c r="R38" s="19">
        <f t="shared" si="4"/>
        <v>1.8616845354606184</v>
      </c>
      <c r="S38" s="19">
        <f t="shared" si="4"/>
        <v>2.908882086657216</v>
      </c>
      <c r="T38" s="19">
        <f t="shared" si="4"/>
        <v>4.1887902047863905</v>
      </c>
      <c r="U38" s="19">
        <f t="shared" si="4"/>
        <v>5.701408889848142</v>
      </c>
      <c r="V38" s="19">
        <f t="shared" si="4"/>
        <v>7.446738141842474</v>
      </c>
      <c r="W38" s="19">
        <f t="shared" si="4"/>
        <v>9.42477796076938</v>
      </c>
      <c r="X38" s="19">
        <f t="shared" si="4"/>
        <v>11.635528346628863</v>
      </c>
      <c r="Y38" s="19">
        <f t="shared" si="4"/>
        <v>14.078989299420927</v>
      </c>
      <c r="Z38" s="19">
        <f t="shared" si="4"/>
        <v>16.755160819145562</v>
      </c>
      <c r="AA38" s="195">
        <f t="shared" si="5"/>
        <v>3.7037037037037037</v>
      </c>
    </row>
    <row r="39" spans="2:27" ht="12.75">
      <c r="B39" s="67">
        <v>26</v>
      </c>
      <c r="C39" s="17">
        <v>18</v>
      </c>
      <c r="D39" s="17">
        <f t="shared" si="11"/>
        <v>15.927874753700252</v>
      </c>
      <c r="E39" s="17">
        <f>C39+5.2</f>
        <v>23.2</v>
      </c>
      <c r="F39" s="17">
        <f t="shared" si="10"/>
        <v>21.237166338267002</v>
      </c>
      <c r="G39" s="17">
        <f>E39+5.2</f>
        <v>28.4</v>
      </c>
      <c r="H39" s="17">
        <f t="shared" si="10"/>
        <v>26.546457922833753</v>
      </c>
      <c r="I39" s="17">
        <f>G39+5.2</f>
        <v>33.6</v>
      </c>
      <c r="J39" s="17">
        <f t="shared" si="7"/>
        <v>31.855749507400503</v>
      </c>
      <c r="K39" s="17">
        <f>I39+5.2</f>
        <v>38.800000000000004</v>
      </c>
      <c r="L39" s="17">
        <f t="shared" si="8"/>
        <v>37.165041091967254</v>
      </c>
      <c r="M39" s="17">
        <f>K39+5.2</f>
        <v>44.00000000000001</v>
      </c>
      <c r="N39" s="29">
        <f t="shared" si="9"/>
        <v>42.474332676534004</v>
      </c>
      <c r="P39" s="188">
        <v>28</v>
      </c>
      <c r="Q39" s="19">
        <f t="shared" si="4"/>
        <v>1.009797638653862</v>
      </c>
      <c r="R39" s="19">
        <f t="shared" si="4"/>
        <v>1.7951958020513106</v>
      </c>
      <c r="S39" s="19">
        <f t="shared" si="4"/>
        <v>2.8049934407051724</v>
      </c>
      <c r="T39" s="19">
        <f t="shared" si="4"/>
        <v>4.039190554615448</v>
      </c>
      <c r="U39" s="19">
        <f t="shared" si="4"/>
        <v>5.497787143782136</v>
      </c>
      <c r="V39" s="19">
        <f t="shared" si="4"/>
        <v>7.180783208205242</v>
      </c>
      <c r="W39" s="19">
        <f t="shared" si="4"/>
        <v>9.08817874788476</v>
      </c>
      <c r="X39" s="19">
        <f t="shared" si="4"/>
        <v>11.21997376282069</v>
      </c>
      <c r="Y39" s="19">
        <f t="shared" si="4"/>
        <v>13.576168253013037</v>
      </c>
      <c r="Z39" s="19">
        <f t="shared" si="4"/>
        <v>16.156762218461793</v>
      </c>
      <c r="AA39" s="195">
        <f t="shared" si="5"/>
        <v>3.5714285714285716</v>
      </c>
    </row>
    <row r="40" spans="2:27" ht="12.75">
      <c r="B40" s="67">
        <v>28</v>
      </c>
      <c r="C40" s="17">
        <v>19</v>
      </c>
      <c r="D40" s="17">
        <f t="shared" si="11"/>
        <v>18.47256480310798</v>
      </c>
      <c r="E40" s="17">
        <f>C40+5.6</f>
        <v>24.6</v>
      </c>
      <c r="F40" s="17">
        <f t="shared" si="10"/>
        <v>24.630086404143974</v>
      </c>
      <c r="G40" s="17">
        <f>E40+5.6</f>
        <v>30.200000000000003</v>
      </c>
      <c r="H40" s="17">
        <f t="shared" si="10"/>
        <v>30.78760800517997</v>
      </c>
      <c r="I40" s="17">
        <f>G40+5.6</f>
        <v>35.800000000000004</v>
      </c>
      <c r="J40" s="17">
        <f t="shared" si="7"/>
        <v>36.94512960621596</v>
      </c>
      <c r="K40" s="17">
        <f>I40+5.6</f>
        <v>41.400000000000006</v>
      </c>
      <c r="L40" s="17">
        <f t="shared" si="8"/>
        <v>43.10265120725195</v>
      </c>
      <c r="M40" s="17">
        <f>K40+5.6</f>
        <v>47.00000000000001</v>
      </c>
      <c r="N40" s="29">
        <f t="shared" si="9"/>
        <v>49.26017280828795</v>
      </c>
      <c r="P40" s="188">
        <v>29</v>
      </c>
      <c r="Q40" s="19">
        <f t="shared" si="4"/>
        <v>0.9749770304244185</v>
      </c>
      <c r="R40" s="19">
        <f t="shared" si="4"/>
        <v>1.7332924985323</v>
      </c>
      <c r="S40" s="19">
        <f t="shared" si="4"/>
        <v>2.7082695289567185</v>
      </c>
      <c r="T40" s="19">
        <f t="shared" si="4"/>
        <v>3.899908121697674</v>
      </c>
      <c r="U40" s="19">
        <f t="shared" si="4"/>
        <v>5.308208276755166</v>
      </c>
      <c r="V40" s="19">
        <f t="shared" si="4"/>
        <v>6.9331699941292</v>
      </c>
      <c r="W40" s="19">
        <f t="shared" si="4"/>
        <v>8.774793273819768</v>
      </c>
      <c r="X40" s="19">
        <f t="shared" si="4"/>
        <v>10.833078115826874</v>
      </c>
      <c r="Y40" s="19">
        <f t="shared" si="4"/>
        <v>13.108024520150519</v>
      </c>
      <c r="Z40" s="19">
        <f t="shared" si="4"/>
        <v>15.599632486790696</v>
      </c>
      <c r="AA40" s="195">
        <f t="shared" si="5"/>
        <v>3.4482758620689653</v>
      </c>
    </row>
    <row r="41" spans="2:27" ht="13.5" thickBot="1">
      <c r="B41" s="67">
        <v>30</v>
      </c>
      <c r="C41" s="17">
        <v>20</v>
      </c>
      <c r="D41" s="17">
        <f t="shared" si="11"/>
        <v>21.205750411731103</v>
      </c>
      <c r="E41" s="17">
        <f>C41+6</f>
        <v>26</v>
      </c>
      <c r="F41" s="17">
        <f t="shared" si="10"/>
        <v>28.274333882308138</v>
      </c>
      <c r="G41" s="17">
        <f>E41+6</f>
        <v>32</v>
      </c>
      <c r="H41" s="17">
        <f t="shared" si="10"/>
        <v>35.34291735288517</v>
      </c>
      <c r="I41" s="17">
        <f>G41+6</f>
        <v>38</v>
      </c>
      <c r="J41" s="17">
        <f t="shared" si="7"/>
        <v>42.411500823462205</v>
      </c>
      <c r="K41" s="17">
        <f>I41+6</f>
        <v>44</v>
      </c>
      <c r="L41" s="17">
        <f t="shared" si="8"/>
        <v>49.480084294039244</v>
      </c>
      <c r="M41" s="17">
        <f>K41+6</f>
        <v>50</v>
      </c>
      <c r="N41" s="29">
        <f t="shared" si="9"/>
        <v>56.548667764616276</v>
      </c>
      <c r="P41" s="189">
        <v>30</v>
      </c>
      <c r="Q41" s="20">
        <f t="shared" si="4"/>
        <v>0.9424777960769379</v>
      </c>
      <c r="R41" s="20">
        <f t="shared" si="4"/>
        <v>1.6755160819145565</v>
      </c>
      <c r="S41" s="20">
        <f t="shared" si="4"/>
        <v>2.6179938779914944</v>
      </c>
      <c r="T41" s="20">
        <f t="shared" si="4"/>
        <v>3.7699111843077517</v>
      </c>
      <c r="U41" s="20">
        <f t="shared" si="4"/>
        <v>5.131268000863328</v>
      </c>
      <c r="V41" s="20">
        <f t="shared" si="4"/>
        <v>6.702064327658226</v>
      </c>
      <c r="W41" s="20">
        <f t="shared" si="4"/>
        <v>8.482300164692441</v>
      </c>
      <c r="X41" s="20">
        <f t="shared" si="4"/>
        <v>10.471975511965978</v>
      </c>
      <c r="Y41" s="20">
        <f t="shared" si="4"/>
        <v>12.671090369478835</v>
      </c>
      <c r="Z41" s="20">
        <f t="shared" si="4"/>
        <v>15.079644737231007</v>
      </c>
      <c r="AA41" s="196">
        <f t="shared" si="5"/>
        <v>3.3333333333333335</v>
      </c>
    </row>
    <row r="42" spans="2:16" ht="13.5" thickTop="1">
      <c r="B42" s="67">
        <v>32</v>
      </c>
      <c r="C42" s="17">
        <v>21.4</v>
      </c>
      <c r="D42" s="17">
        <f t="shared" si="11"/>
        <v>24.127431579569613</v>
      </c>
      <c r="E42" s="17">
        <f>C42+6.4</f>
        <v>27.799999999999997</v>
      </c>
      <c r="F42" s="17">
        <f t="shared" si="10"/>
        <v>32.169908772759484</v>
      </c>
      <c r="G42" s="17">
        <f>E42+6.4</f>
        <v>34.199999999999996</v>
      </c>
      <c r="H42" s="17">
        <f t="shared" si="10"/>
        <v>40.21238596594935</v>
      </c>
      <c r="I42" s="17">
        <f>G42+6.4</f>
        <v>40.599999999999994</v>
      </c>
      <c r="J42" s="17">
        <f t="shared" si="7"/>
        <v>48.25486315913923</v>
      </c>
      <c r="K42" s="17">
        <f>I42+6.4</f>
        <v>46.99999999999999</v>
      </c>
      <c r="L42" s="17">
        <f t="shared" si="8"/>
        <v>56.2973403523291</v>
      </c>
      <c r="M42" s="17">
        <f>K42+6.4</f>
        <v>53.39999999999999</v>
      </c>
      <c r="N42" s="29">
        <f t="shared" si="9"/>
        <v>64.33981754551897</v>
      </c>
      <c r="P42" s="185"/>
    </row>
    <row r="43" spans="2:16" ht="12.75">
      <c r="B43" s="67">
        <v>34</v>
      </c>
      <c r="C43" s="17">
        <v>22.4</v>
      </c>
      <c r="D43" s="17">
        <f t="shared" si="11"/>
        <v>27.2376083066235</v>
      </c>
      <c r="E43" s="17">
        <f>C43+6.8</f>
        <v>29.2</v>
      </c>
      <c r="F43" s="17">
        <f t="shared" si="10"/>
        <v>36.316811075498</v>
      </c>
      <c r="G43" s="17">
        <f>E43+6.8</f>
        <v>36</v>
      </c>
      <c r="H43" s="17">
        <f t="shared" si="10"/>
        <v>45.396013844372504</v>
      </c>
      <c r="I43" s="17">
        <f>G43+6.8</f>
        <v>42.8</v>
      </c>
      <c r="J43" s="17">
        <f t="shared" si="7"/>
        <v>54.475216613247</v>
      </c>
      <c r="K43" s="17">
        <f>I43+6.8</f>
        <v>49.599999999999994</v>
      </c>
      <c r="L43" s="17">
        <f t="shared" si="8"/>
        <v>63.5544193821215</v>
      </c>
      <c r="M43" s="17">
        <f>K43+6.8</f>
        <v>56.39999999999999</v>
      </c>
      <c r="N43" s="29">
        <f t="shared" si="9"/>
        <v>72.633622150996</v>
      </c>
      <c r="P43" s="185"/>
    </row>
    <row r="44" spans="2:16" ht="12.75">
      <c r="B44" s="67">
        <v>36</v>
      </c>
      <c r="C44" s="17">
        <v>23.4</v>
      </c>
      <c r="D44" s="17">
        <f t="shared" si="11"/>
        <v>30.536280592892794</v>
      </c>
      <c r="E44" s="17">
        <f>C44+7.2</f>
        <v>30.599999999999998</v>
      </c>
      <c r="F44" s="17">
        <f t="shared" si="10"/>
        <v>40.71504079052372</v>
      </c>
      <c r="G44" s="17">
        <f>E44+7.2</f>
        <v>37.8</v>
      </c>
      <c r="H44" s="17">
        <f t="shared" si="10"/>
        <v>50.89380098815465</v>
      </c>
      <c r="I44" s="17">
        <f>G44+7.2</f>
        <v>45</v>
      </c>
      <c r="J44" s="17">
        <f t="shared" si="7"/>
        <v>61.07256118578559</v>
      </c>
      <c r="K44" s="17">
        <f>I44+7.2</f>
        <v>52.2</v>
      </c>
      <c r="L44" s="17">
        <f t="shared" si="8"/>
        <v>71.25132138341651</v>
      </c>
      <c r="M44" s="17">
        <f>K44+7.2</f>
        <v>59.400000000000006</v>
      </c>
      <c r="N44" s="29">
        <f t="shared" si="9"/>
        <v>81.43008158104745</v>
      </c>
      <c r="P44" s="185"/>
    </row>
    <row r="45" spans="2:16" ht="12.75">
      <c r="B45" s="67">
        <v>38</v>
      </c>
      <c r="C45" s="17">
        <v>24.8</v>
      </c>
      <c r="D45" s="17">
        <f t="shared" si="11"/>
        <v>34.02344843837746</v>
      </c>
      <c r="E45" s="17">
        <f>C45+7.6</f>
        <v>32.4</v>
      </c>
      <c r="F45" s="17">
        <f t="shared" si="10"/>
        <v>45.36459791783661</v>
      </c>
      <c r="G45" s="17">
        <f>E45+7.6</f>
        <v>40</v>
      </c>
      <c r="H45" s="17">
        <f t="shared" si="10"/>
        <v>56.70574739729577</v>
      </c>
      <c r="I45" s="17">
        <f>G45+7.6</f>
        <v>47.6</v>
      </c>
      <c r="J45" s="17">
        <f t="shared" si="7"/>
        <v>68.04689687675491</v>
      </c>
      <c r="K45" s="17">
        <f>I45+7.6</f>
        <v>55.2</v>
      </c>
      <c r="L45" s="17">
        <f t="shared" si="8"/>
        <v>79.38804635621408</v>
      </c>
      <c r="M45" s="17">
        <f>K45+7.6</f>
        <v>62.800000000000004</v>
      </c>
      <c r="N45" s="29">
        <f t="shared" si="9"/>
        <v>90.72919583567322</v>
      </c>
      <c r="P45" s="185"/>
    </row>
    <row r="46" spans="2:16" ht="13.5" thickBot="1">
      <c r="B46" s="69">
        <v>40</v>
      </c>
      <c r="C46" s="18">
        <v>25.8</v>
      </c>
      <c r="D46" s="18">
        <f t="shared" si="11"/>
        <v>37.69911184307752</v>
      </c>
      <c r="E46" s="18">
        <f>C46+8</f>
        <v>33.8</v>
      </c>
      <c r="F46" s="18">
        <f t="shared" si="10"/>
        <v>50.26548245743669</v>
      </c>
      <c r="G46" s="18">
        <f>E46+8</f>
        <v>41.8</v>
      </c>
      <c r="H46" s="18">
        <f t="shared" si="10"/>
        <v>62.83185307179586</v>
      </c>
      <c r="I46" s="18">
        <f>G46+8</f>
        <v>49.8</v>
      </c>
      <c r="J46" s="18">
        <f t="shared" si="7"/>
        <v>75.39822368615503</v>
      </c>
      <c r="K46" s="18">
        <f>I46+8</f>
        <v>57.8</v>
      </c>
      <c r="L46" s="18">
        <f t="shared" si="8"/>
        <v>87.96459430051421</v>
      </c>
      <c r="M46" s="18">
        <f>K46+8</f>
        <v>65.8</v>
      </c>
      <c r="N46" s="30">
        <f t="shared" si="9"/>
        <v>100.53096491487338</v>
      </c>
      <c r="P46" s="185"/>
    </row>
    <row r="47" ht="13.5" thickTop="1">
      <c r="P47" s="185"/>
    </row>
    <row r="48" spans="2:26" ht="19.5" customHeight="1" thickBot="1">
      <c r="B48" s="351" t="s">
        <v>591</v>
      </c>
      <c r="C48" s="351"/>
      <c r="D48" s="351"/>
      <c r="E48" s="351"/>
      <c r="F48" s="351"/>
      <c r="G48" s="351"/>
      <c r="H48" s="351"/>
      <c r="I48" s="351"/>
      <c r="J48" s="351"/>
      <c r="K48" s="351"/>
      <c r="L48" s="351"/>
      <c r="M48" s="351"/>
      <c r="N48" s="351"/>
      <c r="O48" s="351"/>
      <c r="P48" s="351"/>
      <c r="R48" s="204" t="s">
        <v>597</v>
      </c>
      <c r="Y48" s="384" t="s">
        <v>601</v>
      </c>
      <c r="Z48" s="384"/>
    </row>
    <row r="49" spans="2:32" ht="13.5" customHeight="1" thickBot="1" thickTop="1">
      <c r="B49" s="155" t="s">
        <v>592</v>
      </c>
      <c r="C49" s="278" t="s">
        <v>593</v>
      </c>
      <c r="D49" s="278"/>
      <c r="E49" s="278"/>
      <c r="F49" s="278"/>
      <c r="G49" s="278"/>
      <c r="H49" s="278"/>
      <c r="I49" s="278"/>
      <c r="J49" s="278"/>
      <c r="K49" s="278"/>
      <c r="L49" s="278"/>
      <c r="M49" s="278"/>
      <c r="N49" s="278"/>
      <c r="O49" s="278"/>
      <c r="P49" s="279"/>
      <c r="R49" s="155" t="s">
        <v>18</v>
      </c>
      <c r="S49" s="198" t="s">
        <v>599</v>
      </c>
      <c r="T49" s="198"/>
      <c r="U49" s="156" t="s">
        <v>18</v>
      </c>
      <c r="V49" s="198" t="s">
        <v>599</v>
      </c>
      <c r="W49" s="199"/>
      <c r="X49" s="201"/>
      <c r="Y49" s="385"/>
      <c r="Z49" s="385"/>
      <c r="AA49" s="201"/>
      <c r="AB49" s="202"/>
      <c r="AC49" s="202"/>
      <c r="AD49" s="201"/>
      <c r="AE49" s="202"/>
      <c r="AF49" s="202"/>
    </row>
    <row r="50" spans="2:32" ht="13.5" thickTop="1">
      <c r="B50" s="67" t="s">
        <v>22</v>
      </c>
      <c r="C50" s="15">
        <v>1</v>
      </c>
      <c r="D50" s="15">
        <v>2</v>
      </c>
      <c r="E50" s="15">
        <v>3</v>
      </c>
      <c r="F50" s="15">
        <v>4</v>
      </c>
      <c r="G50" s="15">
        <v>5</v>
      </c>
      <c r="H50" s="15">
        <v>6</v>
      </c>
      <c r="I50" s="15">
        <v>7</v>
      </c>
      <c r="J50" s="15">
        <v>8</v>
      </c>
      <c r="K50" s="15">
        <v>9</v>
      </c>
      <c r="L50" s="15">
        <v>10</v>
      </c>
      <c r="M50" s="15">
        <v>11</v>
      </c>
      <c r="N50" s="15">
        <v>12</v>
      </c>
      <c r="O50" s="15">
        <v>13</v>
      </c>
      <c r="P50" s="16">
        <v>14</v>
      </c>
      <c r="R50" s="67" t="s">
        <v>598</v>
      </c>
      <c r="S50" s="182">
        <v>45</v>
      </c>
      <c r="T50" s="182">
        <v>60</v>
      </c>
      <c r="U50" s="15" t="s">
        <v>598</v>
      </c>
      <c r="V50" s="182">
        <v>45</v>
      </c>
      <c r="W50" s="183">
        <v>60</v>
      </c>
      <c r="X50" s="201"/>
      <c r="Y50" s="378" t="s">
        <v>592</v>
      </c>
      <c r="Z50" s="380" t="s">
        <v>602</v>
      </c>
      <c r="AA50" s="201"/>
      <c r="AB50" s="203"/>
      <c r="AC50" s="203"/>
      <c r="AD50" s="201"/>
      <c r="AE50" s="203"/>
      <c r="AF50" s="203"/>
    </row>
    <row r="51" spans="2:32" ht="12.75">
      <c r="B51" s="67">
        <v>6</v>
      </c>
      <c r="C51" s="19">
        <f>((PI()*($B51/10)^2)/4*2)*C$50</f>
        <v>0.5654866776461628</v>
      </c>
      <c r="D51" s="19">
        <f>((PI()*($B51/10)^2)/4*2)*D$50</f>
        <v>1.1309733552923256</v>
      </c>
      <c r="E51" s="19">
        <f aca="true" t="shared" si="12" ref="E51:P58">((PI()*($B51/10)^2)/4*2)*E$50</f>
        <v>1.6964600329384885</v>
      </c>
      <c r="F51" s="19">
        <f t="shared" si="12"/>
        <v>2.261946710584651</v>
      </c>
      <c r="G51" s="19">
        <f t="shared" si="12"/>
        <v>2.827433388230814</v>
      </c>
      <c r="H51" s="19">
        <f t="shared" si="12"/>
        <v>3.392920065876977</v>
      </c>
      <c r="I51" s="19">
        <f t="shared" si="12"/>
        <v>3.9584067435231396</v>
      </c>
      <c r="J51" s="19">
        <f t="shared" si="12"/>
        <v>4.523893421169302</v>
      </c>
      <c r="K51" s="19">
        <f t="shared" si="12"/>
        <v>5.089380098815465</v>
      </c>
      <c r="L51" s="19">
        <f t="shared" si="12"/>
        <v>5.654866776461628</v>
      </c>
      <c r="M51" s="19">
        <f t="shared" si="12"/>
        <v>6.220353454107791</v>
      </c>
      <c r="N51" s="19">
        <f t="shared" si="12"/>
        <v>6.785840131753954</v>
      </c>
      <c r="O51" s="19">
        <f t="shared" si="12"/>
        <v>7.351326809400116</v>
      </c>
      <c r="P51" s="179">
        <f t="shared" si="12"/>
        <v>7.916813487046279</v>
      </c>
      <c r="R51" s="67">
        <v>20</v>
      </c>
      <c r="S51" s="2">
        <v>19</v>
      </c>
      <c r="T51" s="200" t="s">
        <v>600</v>
      </c>
      <c r="U51" s="15">
        <v>115</v>
      </c>
      <c r="V51" s="2">
        <v>153</v>
      </c>
      <c r="W51" s="3">
        <v>126</v>
      </c>
      <c r="X51" s="201"/>
      <c r="Y51" s="379"/>
      <c r="Z51" s="381"/>
      <c r="AA51" s="201"/>
      <c r="AB51" s="201"/>
      <c r="AC51" s="201"/>
      <c r="AD51" s="201"/>
      <c r="AE51" s="201"/>
      <c r="AF51" s="201"/>
    </row>
    <row r="52" spans="2:32" ht="12.75">
      <c r="B52" s="67">
        <v>8</v>
      </c>
      <c r="C52" s="19">
        <f aca="true" t="shared" si="13" ref="C52:C58">(PI()*($B52/10)^2)/4*2</f>
        <v>1.0053096491487339</v>
      </c>
      <c r="D52" s="19">
        <f aca="true" t="shared" si="14" ref="D52:D58">((PI()*($B52/10)^2)/4*2)*D$50</f>
        <v>2.0106192982974678</v>
      </c>
      <c r="E52" s="19">
        <f t="shared" si="12"/>
        <v>3.0159289474462017</v>
      </c>
      <c r="F52" s="19">
        <f t="shared" si="12"/>
        <v>4.0212385965949355</v>
      </c>
      <c r="G52" s="19">
        <f t="shared" si="12"/>
        <v>5.026548245743669</v>
      </c>
      <c r="H52" s="19">
        <f t="shared" si="12"/>
        <v>6.031857894892403</v>
      </c>
      <c r="I52" s="19">
        <f t="shared" si="12"/>
        <v>7.037167544041138</v>
      </c>
      <c r="J52" s="19">
        <f t="shared" si="12"/>
        <v>8.042477193189871</v>
      </c>
      <c r="K52" s="19">
        <f t="shared" si="12"/>
        <v>9.047786842338605</v>
      </c>
      <c r="L52" s="19">
        <f t="shared" si="12"/>
        <v>10.053096491487338</v>
      </c>
      <c r="M52" s="19">
        <f t="shared" si="12"/>
        <v>11.058406140636073</v>
      </c>
      <c r="N52" s="19">
        <f t="shared" si="12"/>
        <v>12.063715789784807</v>
      </c>
      <c r="O52" s="19">
        <f t="shared" si="12"/>
        <v>13.06902543893354</v>
      </c>
      <c r="P52" s="179">
        <f t="shared" si="12"/>
        <v>14.074335088082275</v>
      </c>
      <c r="R52" s="67">
        <v>25</v>
      </c>
      <c r="S52" s="2">
        <v>26</v>
      </c>
      <c r="T52" s="200" t="s">
        <v>600</v>
      </c>
      <c r="U52" s="15">
        <v>120</v>
      </c>
      <c r="V52" s="2">
        <v>160</v>
      </c>
      <c r="W52" s="3">
        <v>132</v>
      </c>
      <c r="X52" s="201"/>
      <c r="Y52" s="70" t="s">
        <v>22</v>
      </c>
      <c r="Z52" s="183" t="s">
        <v>598</v>
      </c>
      <c r="AA52" s="201"/>
      <c r="AB52" s="201"/>
      <c r="AC52" s="201"/>
      <c r="AD52" s="201"/>
      <c r="AE52" s="201"/>
      <c r="AF52" s="201"/>
    </row>
    <row r="53" spans="2:32" ht="12.75">
      <c r="B53" s="67">
        <v>10</v>
      </c>
      <c r="C53" s="19">
        <f t="shared" si="13"/>
        <v>1.5707963267948966</v>
      </c>
      <c r="D53" s="19">
        <f t="shared" si="14"/>
        <v>3.141592653589793</v>
      </c>
      <c r="E53" s="19">
        <f t="shared" si="12"/>
        <v>4.71238898038469</v>
      </c>
      <c r="F53" s="19">
        <f t="shared" si="12"/>
        <v>6.283185307179586</v>
      </c>
      <c r="G53" s="19">
        <f t="shared" si="12"/>
        <v>7.853981633974483</v>
      </c>
      <c r="H53" s="19">
        <f t="shared" si="12"/>
        <v>9.42477796076938</v>
      </c>
      <c r="I53" s="19">
        <f t="shared" si="12"/>
        <v>10.995574287564276</v>
      </c>
      <c r="J53" s="19">
        <f t="shared" si="12"/>
        <v>12.566370614359172</v>
      </c>
      <c r="K53" s="19">
        <f t="shared" si="12"/>
        <v>14.137166941154069</v>
      </c>
      <c r="L53" s="19">
        <f t="shared" si="12"/>
        <v>15.707963267948966</v>
      </c>
      <c r="M53" s="19">
        <f t="shared" si="12"/>
        <v>17.27875959474386</v>
      </c>
      <c r="N53" s="19">
        <f t="shared" si="12"/>
        <v>18.84955592153876</v>
      </c>
      <c r="O53" s="19">
        <f t="shared" si="12"/>
        <v>20.420352248333657</v>
      </c>
      <c r="P53" s="179">
        <f t="shared" si="12"/>
        <v>21.991148575128552</v>
      </c>
      <c r="R53" s="67">
        <v>30</v>
      </c>
      <c r="S53" s="2">
        <v>33</v>
      </c>
      <c r="T53" s="2">
        <v>27</v>
      </c>
      <c r="U53" s="15">
        <v>125</v>
      </c>
      <c r="V53" s="2">
        <v>167</v>
      </c>
      <c r="W53" s="3">
        <v>137</v>
      </c>
      <c r="X53" s="201"/>
      <c r="Y53" s="67">
        <v>8</v>
      </c>
      <c r="Z53" s="116">
        <v>6</v>
      </c>
      <c r="AA53" s="201"/>
      <c r="AB53" s="201"/>
      <c r="AC53" s="201"/>
      <c r="AD53" s="201"/>
      <c r="AE53" s="201"/>
      <c r="AF53" s="201"/>
    </row>
    <row r="54" spans="2:32" ht="12.75">
      <c r="B54" s="67">
        <v>12</v>
      </c>
      <c r="C54" s="19">
        <f t="shared" si="13"/>
        <v>2.261946710584651</v>
      </c>
      <c r="D54" s="19">
        <f t="shared" si="14"/>
        <v>4.523893421169302</v>
      </c>
      <c r="E54" s="19">
        <f t="shared" si="12"/>
        <v>6.785840131753954</v>
      </c>
      <c r="F54" s="19">
        <f t="shared" si="12"/>
        <v>9.047786842338605</v>
      </c>
      <c r="G54" s="19">
        <f t="shared" si="12"/>
        <v>11.309733552923255</v>
      </c>
      <c r="H54" s="19">
        <f t="shared" si="12"/>
        <v>13.571680263507908</v>
      </c>
      <c r="I54" s="19">
        <f t="shared" si="12"/>
        <v>15.833626974092558</v>
      </c>
      <c r="J54" s="19">
        <f t="shared" si="12"/>
        <v>18.09557368467721</v>
      </c>
      <c r="K54" s="19">
        <f t="shared" si="12"/>
        <v>20.35752039526186</v>
      </c>
      <c r="L54" s="19">
        <f t="shared" si="12"/>
        <v>22.61946710584651</v>
      </c>
      <c r="M54" s="19">
        <f t="shared" si="12"/>
        <v>24.881413816431163</v>
      </c>
      <c r="N54" s="19">
        <f t="shared" si="12"/>
        <v>27.143360527015815</v>
      </c>
      <c r="O54" s="19">
        <f t="shared" si="12"/>
        <v>29.405307237600464</v>
      </c>
      <c r="P54" s="179">
        <f t="shared" si="12"/>
        <v>31.667253948185117</v>
      </c>
      <c r="R54" s="67">
        <v>35</v>
      </c>
      <c r="S54" s="2">
        <v>40</v>
      </c>
      <c r="T54" s="2">
        <v>33</v>
      </c>
      <c r="U54" s="15">
        <v>130</v>
      </c>
      <c r="V54" s="2">
        <v>174</v>
      </c>
      <c r="W54" s="3">
        <v>143</v>
      </c>
      <c r="X54" s="201"/>
      <c r="Y54" s="67">
        <v>10</v>
      </c>
      <c r="Z54" s="116">
        <v>10</v>
      </c>
      <c r="AA54" s="201"/>
      <c r="AB54" s="201"/>
      <c r="AC54" s="201"/>
      <c r="AD54" s="201"/>
      <c r="AE54" s="201"/>
      <c r="AF54" s="201"/>
    </row>
    <row r="55" spans="2:32" ht="12.75">
      <c r="B55" s="67">
        <v>14</v>
      </c>
      <c r="C55" s="19">
        <f t="shared" si="13"/>
        <v>3.0787608005179967</v>
      </c>
      <c r="D55" s="19">
        <f t="shared" si="14"/>
        <v>6.157521601035993</v>
      </c>
      <c r="E55" s="19">
        <f t="shared" si="12"/>
        <v>9.23628240155399</v>
      </c>
      <c r="F55" s="19">
        <f t="shared" si="12"/>
        <v>12.315043202071987</v>
      </c>
      <c r="G55" s="19">
        <f t="shared" si="12"/>
        <v>15.393804002589984</v>
      </c>
      <c r="H55" s="19">
        <f t="shared" si="12"/>
        <v>18.47256480310798</v>
      </c>
      <c r="I55" s="19">
        <f t="shared" si="12"/>
        <v>21.551325603625976</v>
      </c>
      <c r="J55" s="19">
        <f t="shared" si="12"/>
        <v>24.630086404143974</v>
      </c>
      <c r="K55" s="19">
        <f t="shared" si="12"/>
        <v>27.70884720466197</v>
      </c>
      <c r="L55" s="19">
        <f t="shared" si="12"/>
        <v>30.78760800517997</v>
      </c>
      <c r="M55" s="19">
        <f t="shared" si="12"/>
        <v>33.86636880569797</v>
      </c>
      <c r="N55" s="19">
        <f t="shared" si="12"/>
        <v>36.94512960621596</v>
      </c>
      <c r="O55" s="19">
        <f t="shared" si="12"/>
        <v>40.023890406733955</v>
      </c>
      <c r="P55" s="179">
        <f t="shared" si="12"/>
        <v>43.10265120725195</v>
      </c>
      <c r="R55" s="67">
        <v>40</v>
      </c>
      <c r="S55" s="2">
        <v>47</v>
      </c>
      <c r="T55" s="2">
        <v>38</v>
      </c>
      <c r="U55" s="15">
        <v>135</v>
      </c>
      <c r="V55" s="2">
        <v>181</v>
      </c>
      <c r="W55" s="3">
        <v>149</v>
      </c>
      <c r="X55" s="201"/>
      <c r="Y55" s="67">
        <v>12</v>
      </c>
      <c r="Z55" s="116">
        <v>10</v>
      </c>
      <c r="AA55" s="201"/>
      <c r="AB55" s="201"/>
      <c r="AC55" s="201"/>
      <c r="AD55" s="201"/>
      <c r="AE55" s="201"/>
      <c r="AF55" s="201"/>
    </row>
    <row r="56" spans="2:32" ht="12.75">
      <c r="B56" s="67">
        <v>16</v>
      </c>
      <c r="C56" s="19">
        <f t="shared" si="13"/>
        <v>4.0212385965949355</v>
      </c>
      <c r="D56" s="19">
        <f t="shared" si="14"/>
        <v>8.042477193189871</v>
      </c>
      <c r="E56" s="19">
        <f t="shared" si="12"/>
        <v>12.063715789784807</v>
      </c>
      <c r="F56" s="19">
        <f t="shared" si="12"/>
        <v>16.084954386379742</v>
      </c>
      <c r="G56" s="19">
        <f t="shared" si="12"/>
        <v>20.106192982974676</v>
      </c>
      <c r="H56" s="19">
        <f t="shared" si="12"/>
        <v>24.127431579569613</v>
      </c>
      <c r="I56" s="19">
        <f t="shared" si="12"/>
        <v>28.14867017616455</v>
      </c>
      <c r="J56" s="19">
        <f t="shared" si="12"/>
        <v>32.169908772759484</v>
      </c>
      <c r="K56" s="19">
        <f t="shared" si="12"/>
        <v>36.19114736935442</v>
      </c>
      <c r="L56" s="19">
        <f t="shared" si="12"/>
        <v>40.21238596594935</v>
      </c>
      <c r="M56" s="19">
        <f t="shared" si="12"/>
        <v>44.23362456254429</v>
      </c>
      <c r="N56" s="19">
        <f t="shared" si="12"/>
        <v>48.25486315913923</v>
      </c>
      <c r="O56" s="19">
        <f t="shared" si="12"/>
        <v>52.27610175573416</v>
      </c>
      <c r="P56" s="179">
        <f t="shared" si="12"/>
        <v>56.2973403523291</v>
      </c>
      <c r="R56" s="67">
        <v>45</v>
      </c>
      <c r="S56" s="2">
        <v>54</v>
      </c>
      <c r="T56" s="2">
        <v>44</v>
      </c>
      <c r="U56" s="15">
        <v>140</v>
      </c>
      <c r="V56" s="2">
        <v>188</v>
      </c>
      <c r="W56" s="3">
        <v>155</v>
      </c>
      <c r="X56" s="201"/>
      <c r="Y56" s="67">
        <v>14</v>
      </c>
      <c r="Z56" s="116">
        <v>10</v>
      </c>
      <c r="AA56" s="201"/>
      <c r="AB56" s="201"/>
      <c r="AC56" s="201"/>
      <c r="AD56" s="201"/>
      <c r="AE56" s="201"/>
      <c r="AF56" s="201"/>
    </row>
    <row r="57" spans="2:32" ht="12.75">
      <c r="B57" s="67">
        <v>18</v>
      </c>
      <c r="C57" s="19">
        <f t="shared" si="13"/>
        <v>5.089380098815465</v>
      </c>
      <c r="D57" s="19">
        <f t="shared" si="14"/>
        <v>10.17876019763093</v>
      </c>
      <c r="E57" s="19">
        <f t="shared" si="12"/>
        <v>15.268140296446397</v>
      </c>
      <c r="F57" s="19">
        <f t="shared" si="12"/>
        <v>20.35752039526186</v>
      </c>
      <c r="G57" s="19">
        <f t="shared" si="12"/>
        <v>25.446900494077326</v>
      </c>
      <c r="H57" s="19">
        <f t="shared" si="12"/>
        <v>30.536280592892794</v>
      </c>
      <c r="I57" s="19">
        <f t="shared" si="12"/>
        <v>35.625660691708255</v>
      </c>
      <c r="J57" s="19">
        <f t="shared" si="12"/>
        <v>40.71504079052372</v>
      </c>
      <c r="K57" s="19">
        <f t="shared" si="12"/>
        <v>45.80442088933919</v>
      </c>
      <c r="L57" s="19">
        <f t="shared" si="12"/>
        <v>50.89380098815465</v>
      </c>
      <c r="M57" s="19">
        <f t="shared" si="12"/>
        <v>55.98318108697012</v>
      </c>
      <c r="N57" s="19">
        <f t="shared" si="12"/>
        <v>61.07256118578559</v>
      </c>
      <c r="O57" s="19">
        <f t="shared" si="12"/>
        <v>66.16194128460106</v>
      </c>
      <c r="P57" s="179">
        <f t="shared" si="12"/>
        <v>71.25132138341651</v>
      </c>
      <c r="R57" s="67">
        <v>50</v>
      </c>
      <c r="S57" s="2">
        <v>61</v>
      </c>
      <c r="T57" s="2">
        <v>50</v>
      </c>
      <c r="U57" s="15">
        <v>145</v>
      </c>
      <c r="V57" s="2">
        <v>195</v>
      </c>
      <c r="W57" s="3">
        <v>161</v>
      </c>
      <c r="X57" s="201"/>
      <c r="Y57" s="67">
        <v>16</v>
      </c>
      <c r="Z57" s="116">
        <v>12</v>
      </c>
      <c r="AA57" s="201"/>
      <c r="AB57" s="201"/>
      <c r="AC57" s="201"/>
      <c r="AD57" s="201"/>
      <c r="AE57" s="201"/>
      <c r="AF57" s="201"/>
    </row>
    <row r="58" spans="2:32" ht="13.5" thickBot="1">
      <c r="B58" s="69">
        <v>20</v>
      </c>
      <c r="C58" s="20">
        <f t="shared" si="13"/>
        <v>6.283185307179586</v>
      </c>
      <c r="D58" s="20">
        <f t="shared" si="14"/>
        <v>12.566370614359172</v>
      </c>
      <c r="E58" s="20">
        <f t="shared" si="12"/>
        <v>18.84955592153876</v>
      </c>
      <c r="F58" s="20">
        <f t="shared" si="12"/>
        <v>25.132741228718345</v>
      </c>
      <c r="G58" s="20">
        <f t="shared" si="12"/>
        <v>31.41592653589793</v>
      </c>
      <c r="H58" s="20">
        <f t="shared" si="12"/>
        <v>37.69911184307752</v>
      </c>
      <c r="I58" s="20">
        <f t="shared" si="12"/>
        <v>43.982297150257104</v>
      </c>
      <c r="J58" s="20">
        <f t="shared" si="12"/>
        <v>50.26548245743669</v>
      </c>
      <c r="K58" s="20">
        <f t="shared" si="12"/>
        <v>56.548667764616276</v>
      </c>
      <c r="L58" s="20">
        <f t="shared" si="12"/>
        <v>62.83185307179586</v>
      </c>
      <c r="M58" s="20">
        <f t="shared" si="12"/>
        <v>69.11503837897544</v>
      </c>
      <c r="N58" s="20">
        <f t="shared" si="12"/>
        <v>75.39822368615503</v>
      </c>
      <c r="O58" s="20">
        <f t="shared" si="12"/>
        <v>81.68140899333463</v>
      </c>
      <c r="P58" s="180">
        <f t="shared" si="12"/>
        <v>87.96459430051421</v>
      </c>
      <c r="R58" s="67">
        <v>55</v>
      </c>
      <c r="S58" s="2">
        <v>68</v>
      </c>
      <c r="T58" s="2">
        <v>56</v>
      </c>
      <c r="U58" s="15">
        <v>150</v>
      </c>
      <c r="V58" s="2">
        <v>202</v>
      </c>
      <c r="W58" s="3">
        <v>166</v>
      </c>
      <c r="X58" s="201"/>
      <c r="Y58" s="67">
        <v>18</v>
      </c>
      <c r="Z58" s="116">
        <v>15</v>
      </c>
      <c r="AA58" s="201"/>
      <c r="AB58" s="201"/>
      <c r="AC58" s="201"/>
      <c r="AD58" s="201"/>
      <c r="AE58" s="201"/>
      <c r="AF58" s="201"/>
    </row>
    <row r="59" spans="18:32" ht="13.5" thickTop="1">
      <c r="R59" s="67">
        <v>60</v>
      </c>
      <c r="S59" s="2">
        <v>75</v>
      </c>
      <c r="T59" s="2">
        <v>61</v>
      </c>
      <c r="U59" s="15">
        <v>155</v>
      </c>
      <c r="V59" s="2">
        <v>209</v>
      </c>
      <c r="W59" s="3">
        <v>172</v>
      </c>
      <c r="X59" s="202"/>
      <c r="Y59" s="67">
        <v>20</v>
      </c>
      <c r="Z59" s="116">
        <v>15</v>
      </c>
      <c r="AA59" s="202"/>
      <c r="AB59" s="202"/>
      <c r="AC59" s="202"/>
      <c r="AD59" s="202"/>
      <c r="AE59" s="202"/>
      <c r="AF59" s="202"/>
    </row>
    <row r="60" spans="2:32" ht="19.5" customHeight="1" thickBot="1">
      <c r="B60" s="351" t="s">
        <v>595</v>
      </c>
      <c r="C60" s="351"/>
      <c r="D60" s="351"/>
      <c r="E60" s="351"/>
      <c r="F60" s="351"/>
      <c r="G60" s="351"/>
      <c r="H60" s="351"/>
      <c r="I60" s="351"/>
      <c r="J60" s="351"/>
      <c r="K60" s="351"/>
      <c r="L60" s="351"/>
      <c r="M60" s="351"/>
      <c r="N60" s="351"/>
      <c r="O60" s="351"/>
      <c r="P60" s="351"/>
      <c r="R60" s="67">
        <v>65</v>
      </c>
      <c r="S60" s="2">
        <v>82</v>
      </c>
      <c r="T60" s="2">
        <v>67</v>
      </c>
      <c r="U60" s="15">
        <v>160</v>
      </c>
      <c r="V60" s="2">
        <v>216</v>
      </c>
      <c r="W60" s="3">
        <v>178</v>
      </c>
      <c r="X60" s="202"/>
      <c r="Y60" s="67">
        <v>22</v>
      </c>
      <c r="Z60" s="116">
        <v>20</v>
      </c>
      <c r="AA60" s="202"/>
      <c r="AB60" s="202"/>
      <c r="AC60" s="202"/>
      <c r="AD60" s="202"/>
      <c r="AE60" s="202"/>
      <c r="AF60" s="202"/>
    </row>
    <row r="61" spans="2:32" ht="13.5" thickTop="1">
      <c r="B61" s="155" t="s">
        <v>592</v>
      </c>
      <c r="C61" s="278" t="s">
        <v>594</v>
      </c>
      <c r="D61" s="278"/>
      <c r="E61" s="278"/>
      <c r="F61" s="278"/>
      <c r="G61" s="278"/>
      <c r="H61" s="278"/>
      <c r="I61" s="278"/>
      <c r="J61" s="278"/>
      <c r="K61" s="278"/>
      <c r="L61" s="278"/>
      <c r="M61" s="278"/>
      <c r="N61" s="278"/>
      <c r="O61" s="278"/>
      <c r="P61" s="279"/>
      <c r="R61" s="67">
        <v>70</v>
      </c>
      <c r="S61" s="2">
        <v>90</v>
      </c>
      <c r="T61" s="2">
        <v>73</v>
      </c>
      <c r="U61" s="15">
        <v>165</v>
      </c>
      <c r="V61" s="2">
        <v>223</v>
      </c>
      <c r="W61" s="3">
        <v>184</v>
      </c>
      <c r="X61" s="202"/>
      <c r="Y61" s="67">
        <v>24</v>
      </c>
      <c r="Z61" s="116">
        <v>20</v>
      </c>
      <c r="AA61" s="202"/>
      <c r="AB61" s="202"/>
      <c r="AC61" s="202"/>
      <c r="AD61" s="202"/>
      <c r="AE61" s="202"/>
      <c r="AF61" s="202"/>
    </row>
    <row r="62" spans="2:26" ht="12.75">
      <c r="B62" s="67" t="s">
        <v>22</v>
      </c>
      <c r="C62" s="15">
        <v>1</v>
      </c>
      <c r="D62" s="15">
        <v>2</v>
      </c>
      <c r="E62" s="15">
        <v>3</v>
      </c>
      <c r="F62" s="15">
        <v>4</v>
      </c>
      <c r="G62" s="15">
        <v>5</v>
      </c>
      <c r="H62" s="15">
        <v>6</v>
      </c>
      <c r="I62" s="15">
        <v>7</v>
      </c>
      <c r="J62" s="15">
        <v>8</v>
      </c>
      <c r="K62" s="15">
        <v>9</v>
      </c>
      <c r="L62" s="15">
        <v>10</v>
      </c>
      <c r="M62" s="15">
        <v>11</v>
      </c>
      <c r="N62" s="15">
        <v>12</v>
      </c>
      <c r="O62" s="15">
        <v>13</v>
      </c>
      <c r="P62" s="16">
        <v>14</v>
      </c>
      <c r="R62" s="67">
        <v>75</v>
      </c>
      <c r="S62" s="2">
        <v>97</v>
      </c>
      <c r="T62" s="2">
        <v>79</v>
      </c>
      <c r="U62" s="15">
        <v>170</v>
      </c>
      <c r="V62" s="2">
        <v>231</v>
      </c>
      <c r="W62" s="3">
        <v>190</v>
      </c>
      <c r="Y62" s="67">
        <v>26</v>
      </c>
      <c r="Z62" s="116">
        <v>20</v>
      </c>
    </row>
    <row r="63" spans="2:26" ht="12.75">
      <c r="B63" s="67">
        <v>8</v>
      </c>
      <c r="C63" s="19">
        <f aca="true" t="shared" si="15" ref="C63:D84">((PI()*($B63/10)^2)/4)*C$50*(2^0.5)</f>
        <v>0.7108612701053387</v>
      </c>
      <c r="D63" s="19">
        <f t="shared" si="15"/>
        <v>1.4217225402106775</v>
      </c>
      <c r="E63" s="19">
        <f aca="true" t="shared" si="16" ref="E63:P78">((PI()*($B63/10)^2)/4)*E$50*(2^0.5)</f>
        <v>2.132583810316016</v>
      </c>
      <c r="F63" s="19">
        <f t="shared" si="16"/>
        <v>2.843445080421355</v>
      </c>
      <c r="G63" s="19">
        <f t="shared" si="16"/>
        <v>3.554306350526693</v>
      </c>
      <c r="H63" s="19">
        <f t="shared" si="16"/>
        <v>4.265167620632032</v>
      </c>
      <c r="I63" s="19">
        <f t="shared" si="16"/>
        <v>4.976028890737371</v>
      </c>
      <c r="J63" s="19">
        <f t="shared" si="16"/>
        <v>5.68689016084271</v>
      </c>
      <c r="K63" s="19">
        <f t="shared" si="16"/>
        <v>6.397751430948047</v>
      </c>
      <c r="L63" s="19">
        <f t="shared" si="16"/>
        <v>7.108612701053386</v>
      </c>
      <c r="M63" s="19">
        <f t="shared" si="16"/>
        <v>7.819473971158726</v>
      </c>
      <c r="N63" s="19">
        <f t="shared" si="16"/>
        <v>8.530335241264064</v>
      </c>
      <c r="O63" s="19">
        <f t="shared" si="16"/>
        <v>9.241196511369402</v>
      </c>
      <c r="P63" s="179">
        <f t="shared" si="16"/>
        <v>9.952057781474743</v>
      </c>
      <c r="R63" s="67">
        <v>80</v>
      </c>
      <c r="S63" s="2">
        <v>104</v>
      </c>
      <c r="T63" s="2">
        <v>84</v>
      </c>
      <c r="U63" s="15">
        <v>175</v>
      </c>
      <c r="V63" s="2">
        <v>238</v>
      </c>
      <c r="W63" s="3">
        <v>195</v>
      </c>
      <c r="Y63" s="67">
        <v>28</v>
      </c>
      <c r="Z63" s="116">
        <v>20</v>
      </c>
    </row>
    <row r="64" spans="2:26" ht="12.75">
      <c r="B64" s="67">
        <v>10</v>
      </c>
      <c r="C64" s="19">
        <f t="shared" si="15"/>
        <v>1.1107207345395915</v>
      </c>
      <c r="D64" s="19">
        <f t="shared" si="15"/>
        <v>2.221441469079183</v>
      </c>
      <c r="E64" s="19">
        <f t="shared" si="16"/>
        <v>3.3321622036187746</v>
      </c>
      <c r="F64" s="19">
        <f t="shared" si="16"/>
        <v>4.442882938158366</v>
      </c>
      <c r="G64" s="19">
        <f t="shared" si="16"/>
        <v>5.553603672697958</v>
      </c>
      <c r="H64" s="19">
        <f t="shared" si="16"/>
        <v>6.664324407237549</v>
      </c>
      <c r="I64" s="19">
        <f t="shared" si="16"/>
        <v>7.775045141777142</v>
      </c>
      <c r="J64" s="19">
        <f t="shared" si="16"/>
        <v>8.885765876316732</v>
      </c>
      <c r="K64" s="19">
        <f t="shared" si="16"/>
        <v>9.996486610856325</v>
      </c>
      <c r="L64" s="19">
        <f t="shared" si="16"/>
        <v>11.107207345395915</v>
      </c>
      <c r="M64" s="19">
        <f t="shared" si="16"/>
        <v>12.217928079935506</v>
      </c>
      <c r="N64" s="19">
        <f t="shared" si="16"/>
        <v>13.328648814475098</v>
      </c>
      <c r="O64" s="19">
        <f t="shared" si="16"/>
        <v>14.439369549014692</v>
      </c>
      <c r="P64" s="179">
        <f t="shared" si="16"/>
        <v>15.550090283554283</v>
      </c>
      <c r="R64" s="67">
        <v>85</v>
      </c>
      <c r="S64" s="2">
        <v>111</v>
      </c>
      <c r="T64" s="2">
        <v>90</v>
      </c>
      <c r="U64" s="15">
        <v>180</v>
      </c>
      <c r="V64" s="2">
        <v>245</v>
      </c>
      <c r="W64" s="3">
        <v>201</v>
      </c>
      <c r="Y64" s="67">
        <v>30</v>
      </c>
      <c r="Z64" s="3">
        <v>25</v>
      </c>
    </row>
    <row r="65" spans="2:26" ht="13.5" thickBot="1">
      <c r="B65" s="67">
        <v>12</v>
      </c>
      <c r="C65" s="19">
        <f t="shared" si="15"/>
        <v>1.5994378577370119</v>
      </c>
      <c r="D65" s="19">
        <f t="shared" si="15"/>
        <v>3.1988757154740237</v>
      </c>
      <c r="E65" s="19">
        <f t="shared" si="16"/>
        <v>4.798313573211036</v>
      </c>
      <c r="F65" s="19">
        <f t="shared" si="16"/>
        <v>6.397751430948047</v>
      </c>
      <c r="G65" s="19">
        <f t="shared" si="16"/>
        <v>7.9971892886850595</v>
      </c>
      <c r="H65" s="19">
        <f t="shared" si="16"/>
        <v>9.596627146422072</v>
      </c>
      <c r="I65" s="19">
        <f t="shared" si="16"/>
        <v>11.196065004159085</v>
      </c>
      <c r="J65" s="19">
        <f t="shared" si="16"/>
        <v>12.795502861896095</v>
      </c>
      <c r="K65" s="19">
        <f t="shared" si="16"/>
        <v>14.394940719633109</v>
      </c>
      <c r="L65" s="19">
        <f t="shared" si="16"/>
        <v>15.994378577370119</v>
      </c>
      <c r="M65" s="19">
        <f t="shared" si="16"/>
        <v>17.593816435107133</v>
      </c>
      <c r="N65" s="19">
        <f t="shared" si="16"/>
        <v>19.193254292844145</v>
      </c>
      <c r="O65" s="19">
        <f t="shared" si="16"/>
        <v>20.792692150581153</v>
      </c>
      <c r="P65" s="179">
        <f t="shared" si="16"/>
        <v>22.39213000831817</v>
      </c>
      <c r="R65" s="67">
        <v>90</v>
      </c>
      <c r="S65" s="2">
        <v>118</v>
      </c>
      <c r="T65" s="2">
        <v>96</v>
      </c>
      <c r="U65" s="15">
        <v>185</v>
      </c>
      <c r="V65" s="2">
        <v>252</v>
      </c>
      <c r="W65" s="3">
        <v>207</v>
      </c>
      <c r="Y65" s="69">
        <v>32</v>
      </c>
      <c r="Z65" s="13">
        <v>25</v>
      </c>
    </row>
    <row r="66" spans="2:23" ht="13.5" thickTop="1">
      <c r="B66" s="67">
        <v>14</v>
      </c>
      <c r="C66" s="19">
        <f t="shared" si="15"/>
        <v>2.1770126396975993</v>
      </c>
      <c r="D66" s="19">
        <f t="shared" si="15"/>
        <v>4.354025279395199</v>
      </c>
      <c r="E66" s="19">
        <f t="shared" si="16"/>
        <v>6.531037919092797</v>
      </c>
      <c r="F66" s="19">
        <f t="shared" si="16"/>
        <v>8.708050558790397</v>
      </c>
      <c r="G66" s="19">
        <f t="shared" si="16"/>
        <v>10.885063198487996</v>
      </c>
      <c r="H66" s="19">
        <f t="shared" si="16"/>
        <v>13.062075838185594</v>
      </c>
      <c r="I66" s="19">
        <f t="shared" si="16"/>
        <v>15.239088477883193</v>
      </c>
      <c r="J66" s="19">
        <f t="shared" si="16"/>
        <v>17.416101117580794</v>
      </c>
      <c r="K66" s="19">
        <f t="shared" si="16"/>
        <v>19.59311375727839</v>
      </c>
      <c r="L66" s="19">
        <f t="shared" si="16"/>
        <v>21.770126396975993</v>
      </c>
      <c r="M66" s="19">
        <f t="shared" si="16"/>
        <v>23.947139036673594</v>
      </c>
      <c r="N66" s="19">
        <f t="shared" si="16"/>
        <v>26.124151676371188</v>
      </c>
      <c r="O66" s="19">
        <f t="shared" si="16"/>
        <v>28.301164316068785</v>
      </c>
      <c r="P66" s="179">
        <f t="shared" si="16"/>
        <v>30.478176955766386</v>
      </c>
      <c r="R66" s="67">
        <v>95</v>
      </c>
      <c r="S66" s="2">
        <v>125</v>
      </c>
      <c r="T66" s="2">
        <v>102</v>
      </c>
      <c r="U66" s="15">
        <v>190</v>
      </c>
      <c r="V66" s="2">
        <v>259</v>
      </c>
      <c r="W66" s="3">
        <v>213</v>
      </c>
    </row>
    <row r="67" spans="2:23" ht="12.75">
      <c r="B67" s="67">
        <v>16</v>
      </c>
      <c r="C67" s="19">
        <f t="shared" si="15"/>
        <v>2.843445080421355</v>
      </c>
      <c r="D67" s="19">
        <f t="shared" si="15"/>
        <v>5.68689016084271</v>
      </c>
      <c r="E67" s="19">
        <f t="shared" si="16"/>
        <v>8.530335241264064</v>
      </c>
      <c r="F67" s="19">
        <f t="shared" si="16"/>
        <v>11.37378032168542</v>
      </c>
      <c r="G67" s="19">
        <f t="shared" si="16"/>
        <v>14.217225402106772</v>
      </c>
      <c r="H67" s="19">
        <f t="shared" si="16"/>
        <v>17.060670482528128</v>
      </c>
      <c r="I67" s="19">
        <f t="shared" si="16"/>
        <v>19.904115562949485</v>
      </c>
      <c r="J67" s="19">
        <f t="shared" si="16"/>
        <v>22.74756064337084</v>
      </c>
      <c r="K67" s="19">
        <f t="shared" si="16"/>
        <v>25.59100572379219</v>
      </c>
      <c r="L67" s="19">
        <f t="shared" si="16"/>
        <v>28.434450804213544</v>
      </c>
      <c r="M67" s="19">
        <f t="shared" si="16"/>
        <v>31.277895884634905</v>
      </c>
      <c r="N67" s="19">
        <f t="shared" si="16"/>
        <v>34.121340965056255</v>
      </c>
      <c r="O67" s="19">
        <f t="shared" si="16"/>
        <v>36.96478604547761</v>
      </c>
      <c r="P67" s="179">
        <f t="shared" si="16"/>
        <v>39.80823112589897</v>
      </c>
      <c r="R67" s="67">
        <v>100</v>
      </c>
      <c r="S67" s="2">
        <v>132</v>
      </c>
      <c r="T67" s="2">
        <v>108</v>
      </c>
      <c r="U67" s="15">
        <v>195</v>
      </c>
      <c r="V67" s="2">
        <v>266</v>
      </c>
      <c r="W67" s="3">
        <v>219</v>
      </c>
    </row>
    <row r="68" spans="2:23" ht="12.75">
      <c r="B68" s="67">
        <v>18</v>
      </c>
      <c r="C68" s="19">
        <f t="shared" si="15"/>
        <v>3.598735179908277</v>
      </c>
      <c r="D68" s="19">
        <f t="shared" si="15"/>
        <v>7.197470359816554</v>
      </c>
      <c r="E68" s="19">
        <f t="shared" si="16"/>
        <v>10.796205539724832</v>
      </c>
      <c r="F68" s="19">
        <f t="shared" si="16"/>
        <v>14.394940719633109</v>
      </c>
      <c r="G68" s="19">
        <f t="shared" si="16"/>
        <v>17.993675899541387</v>
      </c>
      <c r="H68" s="19">
        <f t="shared" si="16"/>
        <v>21.592411079449665</v>
      </c>
      <c r="I68" s="19">
        <f t="shared" si="16"/>
        <v>25.19114625935794</v>
      </c>
      <c r="J68" s="19">
        <f t="shared" si="16"/>
        <v>28.789881439266217</v>
      </c>
      <c r="K68" s="19">
        <f t="shared" si="16"/>
        <v>32.3886166191745</v>
      </c>
      <c r="L68" s="19">
        <f t="shared" si="16"/>
        <v>35.987351799082774</v>
      </c>
      <c r="M68" s="19">
        <f t="shared" si="16"/>
        <v>39.58608697899105</v>
      </c>
      <c r="N68" s="19">
        <f t="shared" si="16"/>
        <v>43.18482215889933</v>
      </c>
      <c r="O68" s="19">
        <f t="shared" si="16"/>
        <v>46.783557338807604</v>
      </c>
      <c r="P68" s="179">
        <f t="shared" si="16"/>
        <v>50.38229251871588</v>
      </c>
      <c r="R68" s="70">
        <v>105</v>
      </c>
      <c r="S68" s="2">
        <v>139</v>
      </c>
      <c r="T68" s="2">
        <v>114</v>
      </c>
      <c r="U68" s="15">
        <v>200</v>
      </c>
      <c r="V68" s="2">
        <v>273</v>
      </c>
      <c r="W68" s="3">
        <v>224</v>
      </c>
    </row>
    <row r="69" spans="2:23" ht="13.5" thickBot="1">
      <c r="B69" s="67">
        <v>20</v>
      </c>
      <c r="C69" s="19">
        <f t="shared" si="15"/>
        <v>4.442882938158366</v>
      </c>
      <c r="D69" s="19">
        <f t="shared" si="15"/>
        <v>8.885765876316732</v>
      </c>
      <c r="E69" s="19">
        <f t="shared" si="16"/>
        <v>13.328648814475098</v>
      </c>
      <c r="F69" s="19">
        <f t="shared" si="16"/>
        <v>17.771531752633464</v>
      </c>
      <c r="G69" s="19">
        <f t="shared" si="16"/>
        <v>22.21441469079183</v>
      </c>
      <c r="H69" s="19">
        <f t="shared" si="16"/>
        <v>26.657297628950197</v>
      </c>
      <c r="I69" s="19">
        <f t="shared" si="16"/>
        <v>31.100180567108566</v>
      </c>
      <c r="J69" s="19">
        <f t="shared" si="16"/>
        <v>35.54306350526693</v>
      </c>
      <c r="K69" s="19">
        <f t="shared" si="16"/>
        <v>39.9859464434253</v>
      </c>
      <c r="L69" s="19">
        <f t="shared" si="16"/>
        <v>44.42882938158366</v>
      </c>
      <c r="M69" s="19">
        <f t="shared" si="16"/>
        <v>48.871712319742024</v>
      </c>
      <c r="N69" s="19">
        <f t="shared" si="16"/>
        <v>53.31459525790039</v>
      </c>
      <c r="O69" s="19">
        <f t="shared" si="16"/>
        <v>57.75747819605877</v>
      </c>
      <c r="P69" s="179">
        <f t="shared" si="16"/>
        <v>62.20036113421713</v>
      </c>
      <c r="R69" s="71">
        <v>110</v>
      </c>
      <c r="S69" s="12">
        <v>146</v>
      </c>
      <c r="T69" s="12">
        <v>120</v>
      </c>
      <c r="U69" s="190"/>
      <c r="V69" s="12"/>
      <c r="W69" s="13"/>
    </row>
    <row r="70" spans="2:16" ht="13.5" thickTop="1">
      <c r="B70" s="67">
        <v>22</v>
      </c>
      <c r="C70" s="19">
        <f t="shared" si="15"/>
        <v>5.375888355171624</v>
      </c>
      <c r="D70" s="19">
        <f t="shared" si="15"/>
        <v>10.751776710343249</v>
      </c>
      <c r="E70" s="19">
        <f t="shared" si="16"/>
        <v>16.127665065514872</v>
      </c>
      <c r="F70" s="19">
        <f t="shared" si="16"/>
        <v>21.503553420686497</v>
      </c>
      <c r="G70" s="19">
        <f t="shared" si="16"/>
        <v>26.879441775858123</v>
      </c>
      <c r="H70" s="19">
        <f t="shared" si="16"/>
        <v>32.255330131029744</v>
      </c>
      <c r="I70" s="19">
        <f t="shared" si="16"/>
        <v>37.63121848620137</v>
      </c>
      <c r="J70" s="19">
        <f t="shared" si="16"/>
        <v>43.007106841372995</v>
      </c>
      <c r="K70" s="19">
        <f t="shared" si="16"/>
        <v>48.38299519654462</v>
      </c>
      <c r="L70" s="19">
        <f t="shared" si="16"/>
        <v>53.758883551716245</v>
      </c>
      <c r="M70" s="19">
        <f t="shared" si="16"/>
        <v>59.13477190688787</v>
      </c>
      <c r="N70" s="19">
        <f t="shared" si="16"/>
        <v>64.51066026205949</v>
      </c>
      <c r="O70" s="19">
        <f t="shared" si="16"/>
        <v>69.88654861723111</v>
      </c>
      <c r="P70" s="179">
        <f t="shared" si="16"/>
        <v>75.26243697240274</v>
      </c>
    </row>
    <row r="71" spans="2:16" ht="12.75">
      <c r="B71" s="67">
        <v>24</v>
      </c>
      <c r="C71" s="19">
        <f t="shared" si="15"/>
        <v>6.397751430948047</v>
      </c>
      <c r="D71" s="19">
        <f t="shared" si="15"/>
        <v>12.795502861896095</v>
      </c>
      <c r="E71" s="19">
        <f t="shared" si="16"/>
        <v>19.193254292844145</v>
      </c>
      <c r="F71" s="19">
        <f t="shared" si="16"/>
        <v>25.59100572379219</v>
      </c>
      <c r="G71" s="19">
        <f t="shared" si="16"/>
        <v>31.988757154740238</v>
      </c>
      <c r="H71" s="19">
        <f t="shared" si="16"/>
        <v>38.38650858568829</v>
      </c>
      <c r="I71" s="19">
        <f t="shared" si="16"/>
        <v>44.78426001663634</v>
      </c>
      <c r="J71" s="19">
        <f t="shared" si="16"/>
        <v>51.18201144758438</v>
      </c>
      <c r="K71" s="19">
        <f t="shared" si="16"/>
        <v>57.579762878532435</v>
      </c>
      <c r="L71" s="19">
        <f t="shared" si="16"/>
        <v>63.977514309480476</v>
      </c>
      <c r="M71" s="19">
        <f t="shared" si="16"/>
        <v>70.37526574042853</v>
      </c>
      <c r="N71" s="19">
        <f t="shared" si="16"/>
        <v>76.77301717137658</v>
      </c>
      <c r="O71" s="19">
        <f t="shared" si="16"/>
        <v>83.17076860232461</v>
      </c>
      <c r="P71" s="179">
        <f t="shared" si="16"/>
        <v>89.56852003327268</v>
      </c>
    </row>
    <row r="72" spans="2:16" ht="12.75">
      <c r="B72" s="67">
        <v>26</v>
      </c>
      <c r="C72" s="19">
        <f t="shared" si="15"/>
        <v>7.50847216548764</v>
      </c>
      <c r="D72" s="19">
        <f t="shared" si="15"/>
        <v>15.01694433097528</v>
      </c>
      <c r="E72" s="19">
        <f t="shared" si="16"/>
        <v>22.525416496462917</v>
      </c>
      <c r="F72" s="19">
        <f t="shared" si="16"/>
        <v>30.03388866195056</v>
      </c>
      <c r="G72" s="19">
        <f t="shared" si="16"/>
        <v>37.542360827438195</v>
      </c>
      <c r="H72" s="19">
        <f t="shared" si="16"/>
        <v>45.050832992925834</v>
      </c>
      <c r="I72" s="19">
        <f t="shared" si="16"/>
        <v>52.55930515841347</v>
      </c>
      <c r="J72" s="19">
        <f t="shared" si="16"/>
        <v>60.06777732390112</v>
      </c>
      <c r="K72" s="19">
        <f t="shared" si="16"/>
        <v>67.57624948938876</v>
      </c>
      <c r="L72" s="19">
        <f t="shared" si="16"/>
        <v>75.08472165487639</v>
      </c>
      <c r="M72" s="19">
        <f t="shared" si="16"/>
        <v>82.59319382036404</v>
      </c>
      <c r="N72" s="19">
        <f t="shared" si="16"/>
        <v>90.10166598585167</v>
      </c>
      <c r="O72" s="19">
        <f t="shared" si="16"/>
        <v>97.61013815133931</v>
      </c>
      <c r="P72" s="179">
        <f t="shared" si="16"/>
        <v>105.11861031682695</v>
      </c>
    </row>
    <row r="73" spans="2:16" ht="12.75">
      <c r="B73" s="67">
        <v>28</v>
      </c>
      <c r="C73" s="19">
        <f t="shared" si="15"/>
        <v>8.708050558790397</v>
      </c>
      <c r="D73" s="19">
        <f t="shared" si="15"/>
        <v>17.416101117580794</v>
      </c>
      <c r="E73" s="19">
        <f t="shared" si="16"/>
        <v>26.124151676371188</v>
      </c>
      <c r="F73" s="19">
        <f t="shared" si="16"/>
        <v>34.83220223516159</v>
      </c>
      <c r="G73" s="19">
        <f t="shared" si="16"/>
        <v>43.540252793951986</v>
      </c>
      <c r="H73" s="19">
        <f t="shared" si="16"/>
        <v>52.248303352742376</v>
      </c>
      <c r="I73" s="19">
        <f t="shared" si="16"/>
        <v>60.95635391153277</v>
      </c>
      <c r="J73" s="19">
        <f t="shared" si="16"/>
        <v>69.66440447032318</v>
      </c>
      <c r="K73" s="19">
        <f t="shared" si="16"/>
        <v>78.37245502911357</v>
      </c>
      <c r="L73" s="19">
        <f t="shared" si="16"/>
        <v>87.08050558790397</v>
      </c>
      <c r="M73" s="19">
        <f t="shared" si="16"/>
        <v>95.78855614669438</v>
      </c>
      <c r="N73" s="19">
        <f t="shared" si="16"/>
        <v>104.49660670548475</v>
      </c>
      <c r="O73" s="19">
        <f t="shared" si="16"/>
        <v>113.20465726427514</v>
      </c>
      <c r="P73" s="179">
        <f t="shared" si="16"/>
        <v>121.91270782306555</v>
      </c>
    </row>
    <row r="74" spans="2:16" ht="12.75">
      <c r="B74" s="67">
        <v>30</v>
      </c>
      <c r="C74" s="19">
        <f t="shared" si="15"/>
        <v>9.996486610856325</v>
      </c>
      <c r="D74" s="19">
        <f t="shared" si="15"/>
        <v>19.99297322171265</v>
      </c>
      <c r="E74" s="19">
        <f t="shared" si="16"/>
        <v>29.989459832568972</v>
      </c>
      <c r="F74" s="19">
        <f t="shared" si="16"/>
        <v>39.9859464434253</v>
      </c>
      <c r="G74" s="19">
        <f t="shared" si="16"/>
        <v>49.98243305428162</v>
      </c>
      <c r="H74" s="19">
        <f t="shared" si="16"/>
        <v>59.978919665137944</v>
      </c>
      <c r="I74" s="19">
        <f t="shared" si="16"/>
        <v>69.97540627599427</v>
      </c>
      <c r="J74" s="19">
        <f t="shared" si="16"/>
        <v>79.9718928868506</v>
      </c>
      <c r="K74" s="19">
        <f t="shared" si="16"/>
        <v>89.96837949770692</v>
      </c>
      <c r="L74" s="19">
        <f t="shared" si="16"/>
        <v>99.96486610856324</v>
      </c>
      <c r="M74" s="19">
        <f t="shared" si="16"/>
        <v>109.96135271941958</v>
      </c>
      <c r="N74" s="19">
        <f t="shared" si="16"/>
        <v>119.95783933027589</v>
      </c>
      <c r="O74" s="19">
        <f t="shared" si="16"/>
        <v>129.95432594113223</v>
      </c>
      <c r="P74" s="179">
        <f t="shared" si="16"/>
        <v>139.95081255198855</v>
      </c>
    </row>
    <row r="75" spans="2:16" ht="12.75">
      <c r="B75" s="67">
        <v>32</v>
      </c>
      <c r="C75" s="19">
        <f t="shared" si="15"/>
        <v>11.37378032168542</v>
      </c>
      <c r="D75" s="19">
        <f t="shared" si="15"/>
        <v>22.74756064337084</v>
      </c>
      <c r="E75" s="19">
        <f t="shared" si="16"/>
        <v>34.121340965056255</v>
      </c>
      <c r="F75" s="19">
        <f t="shared" si="16"/>
        <v>45.49512128674168</v>
      </c>
      <c r="G75" s="19">
        <f t="shared" si="16"/>
        <v>56.86890160842709</v>
      </c>
      <c r="H75" s="19">
        <f t="shared" si="16"/>
        <v>68.24268193011251</v>
      </c>
      <c r="I75" s="19">
        <f t="shared" si="16"/>
        <v>79.61646225179794</v>
      </c>
      <c r="J75" s="19">
        <f t="shared" si="16"/>
        <v>90.99024257348336</v>
      </c>
      <c r="K75" s="19">
        <f t="shared" si="16"/>
        <v>102.36402289516876</v>
      </c>
      <c r="L75" s="19">
        <f t="shared" si="16"/>
        <v>113.73780321685418</v>
      </c>
      <c r="M75" s="19">
        <f t="shared" si="16"/>
        <v>125.11158353853962</v>
      </c>
      <c r="N75" s="19">
        <f t="shared" si="16"/>
        <v>136.48536386022502</v>
      </c>
      <c r="O75" s="19">
        <f t="shared" si="16"/>
        <v>147.85914418191044</v>
      </c>
      <c r="P75" s="179">
        <f t="shared" si="16"/>
        <v>159.23292450359588</v>
      </c>
    </row>
    <row r="76" spans="2:16" ht="12.75">
      <c r="B76" s="67">
        <v>34</v>
      </c>
      <c r="C76" s="19">
        <f t="shared" si="15"/>
        <v>12.839931691277677</v>
      </c>
      <c r="D76" s="19">
        <f t="shared" si="15"/>
        <v>25.679863382555354</v>
      </c>
      <c r="E76" s="19">
        <f t="shared" si="16"/>
        <v>38.51979507383303</v>
      </c>
      <c r="F76" s="19">
        <f t="shared" si="16"/>
        <v>51.35972676511071</v>
      </c>
      <c r="G76" s="19">
        <f t="shared" si="16"/>
        <v>64.19965845638839</v>
      </c>
      <c r="H76" s="19">
        <f t="shared" si="16"/>
        <v>77.03959014766606</v>
      </c>
      <c r="I76" s="19">
        <f t="shared" si="16"/>
        <v>89.87952183894373</v>
      </c>
      <c r="J76" s="19">
        <f t="shared" si="16"/>
        <v>102.71945353022141</v>
      </c>
      <c r="K76" s="19">
        <f t="shared" si="16"/>
        <v>115.55938522149908</v>
      </c>
      <c r="L76" s="19">
        <f t="shared" si="16"/>
        <v>128.39931691277678</v>
      </c>
      <c r="M76" s="19">
        <f t="shared" si="16"/>
        <v>141.23924860405444</v>
      </c>
      <c r="N76" s="19">
        <f t="shared" si="16"/>
        <v>154.07918029533212</v>
      </c>
      <c r="O76" s="19">
        <f t="shared" si="16"/>
        <v>166.9191119866098</v>
      </c>
      <c r="P76" s="179">
        <f t="shared" si="16"/>
        <v>179.75904367788746</v>
      </c>
    </row>
    <row r="77" spans="2:16" ht="12.75">
      <c r="B77" s="67">
        <v>36</v>
      </c>
      <c r="C77" s="19">
        <f t="shared" si="15"/>
        <v>14.394940719633109</v>
      </c>
      <c r="D77" s="19">
        <f t="shared" si="15"/>
        <v>28.789881439266217</v>
      </c>
      <c r="E77" s="19">
        <f t="shared" si="16"/>
        <v>43.18482215889933</v>
      </c>
      <c r="F77" s="19">
        <f t="shared" si="16"/>
        <v>57.579762878532435</v>
      </c>
      <c r="G77" s="19">
        <f t="shared" si="16"/>
        <v>71.97470359816555</v>
      </c>
      <c r="H77" s="19">
        <f t="shared" si="16"/>
        <v>86.36964431779866</v>
      </c>
      <c r="I77" s="19">
        <f t="shared" si="16"/>
        <v>100.76458503743176</v>
      </c>
      <c r="J77" s="19">
        <f t="shared" si="16"/>
        <v>115.15952575706487</v>
      </c>
      <c r="K77" s="19">
        <f t="shared" si="16"/>
        <v>129.554466476698</v>
      </c>
      <c r="L77" s="19">
        <f t="shared" si="16"/>
        <v>143.9494071963311</v>
      </c>
      <c r="M77" s="19">
        <f t="shared" si="16"/>
        <v>158.3443479159642</v>
      </c>
      <c r="N77" s="19">
        <f t="shared" si="16"/>
        <v>172.73928863559732</v>
      </c>
      <c r="O77" s="19">
        <f t="shared" si="16"/>
        <v>187.13422935523042</v>
      </c>
      <c r="P77" s="179">
        <f t="shared" si="16"/>
        <v>201.52917007486352</v>
      </c>
    </row>
    <row r="78" spans="2:16" ht="12.75">
      <c r="B78" s="67">
        <v>38</v>
      </c>
      <c r="C78" s="19">
        <f t="shared" si="15"/>
        <v>16.0388074067517</v>
      </c>
      <c r="D78" s="19">
        <f t="shared" si="15"/>
        <v>32.0776148135034</v>
      </c>
      <c r="E78" s="19">
        <f t="shared" si="16"/>
        <v>48.1164222202551</v>
      </c>
      <c r="F78" s="19">
        <f t="shared" si="16"/>
        <v>64.1552296270068</v>
      </c>
      <c r="G78" s="19">
        <f t="shared" si="16"/>
        <v>80.19403703375852</v>
      </c>
      <c r="H78" s="19">
        <f t="shared" si="16"/>
        <v>96.2328444405102</v>
      </c>
      <c r="I78" s="19">
        <f t="shared" si="16"/>
        <v>112.27165184726192</v>
      </c>
      <c r="J78" s="19">
        <f t="shared" si="16"/>
        <v>128.3104592540136</v>
      </c>
      <c r="K78" s="19">
        <f t="shared" si="16"/>
        <v>144.34926666076532</v>
      </c>
      <c r="L78" s="19">
        <f t="shared" si="16"/>
        <v>160.38807406751704</v>
      </c>
      <c r="M78" s="19">
        <f t="shared" si="16"/>
        <v>176.42688147426873</v>
      </c>
      <c r="N78" s="19">
        <f t="shared" si="16"/>
        <v>192.4656888810204</v>
      </c>
      <c r="O78" s="19">
        <f t="shared" si="16"/>
        <v>208.5044962877721</v>
      </c>
      <c r="P78" s="179">
        <f t="shared" si="16"/>
        <v>224.54330369452384</v>
      </c>
    </row>
    <row r="79" spans="2:16" ht="12.75">
      <c r="B79" s="67">
        <v>40</v>
      </c>
      <c r="C79" s="19">
        <f t="shared" si="15"/>
        <v>17.771531752633464</v>
      </c>
      <c r="D79" s="19">
        <f t="shared" si="15"/>
        <v>35.54306350526693</v>
      </c>
      <c r="E79" s="19">
        <f aca="true" t="shared" si="17" ref="E79:P84">((PI()*($B79/10)^2)/4)*E$50*(2^0.5)</f>
        <v>53.31459525790039</v>
      </c>
      <c r="F79" s="19">
        <f t="shared" si="17"/>
        <v>71.08612701053386</v>
      </c>
      <c r="G79" s="19">
        <f t="shared" si="17"/>
        <v>88.85765876316732</v>
      </c>
      <c r="H79" s="19">
        <f t="shared" si="17"/>
        <v>106.62919051580079</v>
      </c>
      <c r="I79" s="19">
        <f t="shared" si="17"/>
        <v>124.40072226843427</v>
      </c>
      <c r="J79" s="19">
        <f t="shared" si="17"/>
        <v>142.17225402106772</v>
      </c>
      <c r="K79" s="19">
        <f t="shared" si="17"/>
        <v>159.9437857737012</v>
      </c>
      <c r="L79" s="19">
        <f t="shared" si="17"/>
        <v>177.71531752633464</v>
      </c>
      <c r="M79" s="19">
        <f t="shared" si="17"/>
        <v>195.4868492789681</v>
      </c>
      <c r="N79" s="19">
        <f t="shared" si="17"/>
        <v>213.25838103160157</v>
      </c>
      <c r="O79" s="19">
        <f t="shared" si="17"/>
        <v>231.02991278423508</v>
      </c>
      <c r="P79" s="179">
        <f t="shared" si="17"/>
        <v>248.80144453686853</v>
      </c>
    </row>
    <row r="80" spans="2:16" ht="12.75">
      <c r="B80" s="67">
        <v>42</v>
      </c>
      <c r="C80" s="19">
        <f t="shared" si="15"/>
        <v>19.593113757278395</v>
      </c>
      <c r="D80" s="19">
        <f t="shared" si="15"/>
        <v>39.18622751455679</v>
      </c>
      <c r="E80" s="19">
        <f t="shared" si="17"/>
        <v>58.779341271835186</v>
      </c>
      <c r="F80" s="19">
        <f t="shared" si="17"/>
        <v>78.37245502911358</v>
      </c>
      <c r="G80" s="19">
        <f t="shared" si="17"/>
        <v>97.96556878639198</v>
      </c>
      <c r="H80" s="19">
        <f t="shared" si="17"/>
        <v>117.55868254367037</v>
      </c>
      <c r="I80" s="19">
        <f t="shared" si="17"/>
        <v>137.15179630094877</v>
      </c>
      <c r="J80" s="19">
        <f t="shared" si="17"/>
        <v>156.74491005822716</v>
      </c>
      <c r="K80" s="19">
        <f t="shared" si="17"/>
        <v>176.33802381550555</v>
      </c>
      <c r="L80" s="19">
        <f t="shared" si="17"/>
        <v>195.93113757278397</v>
      </c>
      <c r="M80" s="19">
        <f t="shared" si="17"/>
        <v>215.52425133006236</v>
      </c>
      <c r="N80" s="19">
        <f t="shared" si="17"/>
        <v>235.11736508734074</v>
      </c>
      <c r="O80" s="19">
        <f t="shared" si="17"/>
        <v>254.71047884461913</v>
      </c>
      <c r="P80" s="179">
        <f t="shared" si="17"/>
        <v>274.30359260189755</v>
      </c>
    </row>
    <row r="81" spans="2:16" ht="12.75">
      <c r="B81" s="67">
        <v>44</v>
      </c>
      <c r="C81" s="19">
        <f t="shared" si="15"/>
        <v>21.503553420686497</v>
      </c>
      <c r="D81" s="19">
        <f t="shared" si="15"/>
        <v>43.007106841372995</v>
      </c>
      <c r="E81" s="19">
        <f t="shared" si="17"/>
        <v>64.51066026205949</v>
      </c>
      <c r="F81" s="19">
        <f t="shared" si="17"/>
        <v>86.01421368274599</v>
      </c>
      <c r="G81" s="19">
        <f t="shared" si="17"/>
        <v>107.51776710343249</v>
      </c>
      <c r="H81" s="19">
        <f t="shared" si="17"/>
        <v>129.02132052411898</v>
      </c>
      <c r="I81" s="19">
        <f t="shared" si="17"/>
        <v>150.52487394480548</v>
      </c>
      <c r="J81" s="19">
        <f t="shared" si="17"/>
        <v>172.02842736549198</v>
      </c>
      <c r="K81" s="19">
        <f t="shared" si="17"/>
        <v>193.53198078617848</v>
      </c>
      <c r="L81" s="19">
        <f t="shared" si="17"/>
        <v>215.03553420686498</v>
      </c>
      <c r="M81" s="19">
        <f t="shared" si="17"/>
        <v>236.53908762755148</v>
      </c>
      <c r="N81" s="19">
        <f t="shared" si="17"/>
        <v>258.04264104823795</v>
      </c>
      <c r="O81" s="19">
        <f t="shared" si="17"/>
        <v>279.54619446892445</v>
      </c>
      <c r="P81" s="179">
        <f t="shared" si="17"/>
        <v>301.04974788961096</v>
      </c>
    </row>
    <row r="82" spans="2:16" ht="12.75">
      <c r="B82" s="67">
        <v>46</v>
      </c>
      <c r="C82" s="19">
        <f t="shared" si="15"/>
        <v>23.502850742857753</v>
      </c>
      <c r="D82" s="19">
        <f t="shared" si="15"/>
        <v>47.005701485715505</v>
      </c>
      <c r="E82" s="19">
        <f t="shared" si="17"/>
        <v>70.50855222857327</v>
      </c>
      <c r="F82" s="19">
        <f t="shared" si="17"/>
        <v>94.01140297143101</v>
      </c>
      <c r="G82" s="19">
        <f t="shared" si="17"/>
        <v>117.51425371428876</v>
      </c>
      <c r="H82" s="19">
        <f t="shared" si="17"/>
        <v>141.01710445714653</v>
      </c>
      <c r="I82" s="19">
        <f t="shared" si="17"/>
        <v>164.5199552000043</v>
      </c>
      <c r="J82" s="19">
        <f t="shared" si="17"/>
        <v>188.02280594286202</v>
      </c>
      <c r="K82" s="19">
        <f t="shared" si="17"/>
        <v>211.5256566857198</v>
      </c>
      <c r="L82" s="19">
        <f t="shared" si="17"/>
        <v>235.0285074285775</v>
      </c>
      <c r="M82" s="19">
        <f t="shared" si="17"/>
        <v>258.5313581714353</v>
      </c>
      <c r="N82" s="19">
        <f t="shared" si="17"/>
        <v>282.03420891429306</v>
      </c>
      <c r="O82" s="19">
        <f t="shared" si="17"/>
        <v>305.5370596571508</v>
      </c>
      <c r="P82" s="179">
        <f t="shared" si="17"/>
        <v>329.0399104000086</v>
      </c>
    </row>
    <row r="83" spans="2:16" ht="12.75">
      <c r="B83" s="67">
        <v>48</v>
      </c>
      <c r="C83" s="19">
        <f t="shared" si="15"/>
        <v>25.59100572379219</v>
      </c>
      <c r="D83" s="19">
        <f t="shared" si="15"/>
        <v>51.18201144758438</v>
      </c>
      <c r="E83" s="19">
        <f t="shared" si="17"/>
        <v>76.77301717137658</v>
      </c>
      <c r="F83" s="19">
        <f t="shared" si="17"/>
        <v>102.36402289516876</v>
      </c>
      <c r="G83" s="19">
        <f t="shared" si="17"/>
        <v>127.95502861896095</v>
      </c>
      <c r="H83" s="19">
        <f t="shared" si="17"/>
        <v>153.54603434275316</v>
      </c>
      <c r="I83" s="19">
        <f t="shared" si="17"/>
        <v>179.13704006654535</v>
      </c>
      <c r="J83" s="19">
        <f t="shared" si="17"/>
        <v>204.72804579033752</v>
      </c>
      <c r="K83" s="19">
        <f t="shared" si="17"/>
        <v>230.31905151412974</v>
      </c>
      <c r="L83" s="19">
        <f t="shared" si="17"/>
        <v>255.9100572379219</v>
      </c>
      <c r="M83" s="19">
        <f t="shared" si="17"/>
        <v>281.5010629617141</v>
      </c>
      <c r="N83" s="19">
        <f t="shared" si="17"/>
        <v>307.0920686855063</v>
      </c>
      <c r="O83" s="19">
        <f t="shared" si="17"/>
        <v>332.68307440929846</v>
      </c>
      <c r="P83" s="179">
        <f t="shared" si="17"/>
        <v>358.2740801330907</v>
      </c>
    </row>
    <row r="84" spans="2:16" ht="13.5" thickBot="1">
      <c r="B84" s="69">
        <v>50</v>
      </c>
      <c r="C84" s="20">
        <f t="shared" si="15"/>
        <v>27.76801836348979</v>
      </c>
      <c r="D84" s="20">
        <f t="shared" si="15"/>
        <v>55.53603672697958</v>
      </c>
      <c r="E84" s="20">
        <f t="shared" si="17"/>
        <v>83.30405509046936</v>
      </c>
      <c r="F84" s="20">
        <f t="shared" si="17"/>
        <v>111.07207345395916</v>
      </c>
      <c r="G84" s="20">
        <f t="shared" si="17"/>
        <v>138.84009181744895</v>
      </c>
      <c r="H84" s="20">
        <f t="shared" si="17"/>
        <v>166.60811018093872</v>
      </c>
      <c r="I84" s="20">
        <f t="shared" si="17"/>
        <v>194.37612854442855</v>
      </c>
      <c r="J84" s="20">
        <f t="shared" si="17"/>
        <v>222.14414690791833</v>
      </c>
      <c r="K84" s="20">
        <f t="shared" si="17"/>
        <v>249.9121652714081</v>
      </c>
      <c r="L84" s="20">
        <f t="shared" si="17"/>
        <v>277.6801836348979</v>
      </c>
      <c r="M84" s="20">
        <f t="shared" si="17"/>
        <v>305.4482019983877</v>
      </c>
      <c r="N84" s="20">
        <f t="shared" si="17"/>
        <v>333.21622036187745</v>
      </c>
      <c r="O84" s="20">
        <f t="shared" si="17"/>
        <v>360.9842387253673</v>
      </c>
      <c r="P84" s="180">
        <f t="shared" si="17"/>
        <v>388.7522570888571</v>
      </c>
    </row>
    <row r="85" ht="13.5" thickTop="1">
      <c r="C85" t="s">
        <v>596</v>
      </c>
    </row>
  </sheetData>
  <sheetProtection/>
  <mergeCells count="23">
    <mergeCell ref="M30:N30"/>
    <mergeCell ref="C29:N29"/>
    <mergeCell ref="B28:N28"/>
    <mergeCell ref="P2:P3"/>
    <mergeCell ref="Q3:Z3"/>
    <mergeCell ref="Q2:R2"/>
    <mergeCell ref="D2:M2"/>
    <mergeCell ref="B1:M1"/>
    <mergeCell ref="C30:D30"/>
    <mergeCell ref="E30:F30"/>
    <mergeCell ref="G30:H30"/>
    <mergeCell ref="I30:J30"/>
    <mergeCell ref="K30:L30"/>
    <mergeCell ref="B60:P60"/>
    <mergeCell ref="C61:P61"/>
    <mergeCell ref="Y50:Y51"/>
    <mergeCell ref="Z50:Z51"/>
    <mergeCell ref="AA3:AA4"/>
    <mergeCell ref="P1:AA1"/>
    <mergeCell ref="C49:P49"/>
    <mergeCell ref="B48:P48"/>
    <mergeCell ref="Y48:Z49"/>
    <mergeCell ref="B29:B30"/>
  </mergeCells>
  <printOptions/>
  <pageMargins left="0.9448818897637796" right="0.35433070866141736" top="0.984251968503937" bottom="0.3937007874015748" header="0.5118110236220472" footer="0.5118110236220472"/>
  <pageSetup orientation="portrait" paperSize="9" scale="83" r:id="rId1"/>
  <colBreaks count="1" manualBreakCount="1">
    <brk id="13" max="84" man="1"/>
  </colBreaks>
</worksheet>
</file>

<file path=xl/worksheets/sheet3.xml><?xml version="1.0" encoding="utf-8"?>
<worksheet xmlns="http://schemas.openxmlformats.org/spreadsheetml/2006/main" xmlns:r="http://schemas.openxmlformats.org/officeDocument/2006/relationships">
  <sheetPr>
    <tabColor indexed="53"/>
  </sheetPr>
  <dimension ref="B1:J26"/>
  <sheetViews>
    <sheetView showGridLines="0" zoomScalePageLayoutView="0" workbookViewId="0" topLeftCell="A1">
      <selection activeCell="B1" sqref="B1:J1"/>
    </sheetView>
  </sheetViews>
  <sheetFormatPr defaultColWidth="9.00390625" defaultRowHeight="12.75"/>
  <cols>
    <col min="1" max="1" width="2.625" style="0" customWidth="1"/>
    <col min="2" max="10" width="8.625" style="0" customWidth="1"/>
    <col min="11" max="11" width="10.625" style="0" customWidth="1"/>
  </cols>
  <sheetData>
    <row r="1" spans="2:10" ht="19.5" customHeight="1" thickTop="1">
      <c r="B1" s="277" t="s">
        <v>25</v>
      </c>
      <c r="C1" s="278"/>
      <c r="D1" s="278"/>
      <c r="E1" s="278"/>
      <c r="F1" s="278"/>
      <c r="G1" s="278"/>
      <c r="H1" s="278"/>
      <c r="I1" s="278"/>
      <c r="J1" s="279"/>
    </row>
    <row r="2" spans="2:10" ht="15" customHeight="1">
      <c r="B2" s="288" t="s">
        <v>16</v>
      </c>
      <c r="C2" s="15" t="s">
        <v>18</v>
      </c>
      <c r="D2" s="15" t="s">
        <v>17</v>
      </c>
      <c r="E2" s="15" t="s">
        <v>20</v>
      </c>
      <c r="F2" s="15" t="s">
        <v>19</v>
      </c>
      <c r="G2" s="15" t="s">
        <v>21</v>
      </c>
      <c r="H2" s="15" t="s">
        <v>2</v>
      </c>
      <c r="I2" s="15" t="s">
        <v>0</v>
      </c>
      <c r="J2" s="16" t="s">
        <v>7</v>
      </c>
    </row>
    <row r="3" spans="2:10" ht="15" customHeight="1">
      <c r="B3" s="288"/>
      <c r="C3" s="15" t="s">
        <v>22</v>
      </c>
      <c r="D3" s="15" t="s">
        <v>22</v>
      </c>
      <c r="E3" s="15" t="s">
        <v>22</v>
      </c>
      <c r="F3" s="15" t="s">
        <v>22</v>
      </c>
      <c r="G3" s="15" t="s">
        <v>22</v>
      </c>
      <c r="H3" s="15" t="s">
        <v>3</v>
      </c>
      <c r="I3" s="15" t="s">
        <v>23</v>
      </c>
      <c r="J3" s="16" t="s">
        <v>24</v>
      </c>
    </row>
    <row r="4" spans="2:10" ht="15" customHeight="1">
      <c r="B4" s="67">
        <v>80</v>
      </c>
      <c r="C4" s="2">
        <v>80</v>
      </c>
      <c r="D4" s="2">
        <v>42</v>
      </c>
      <c r="E4" s="17">
        <v>3.9</v>
      </c>
      <c r="F4" s="17">
        <v>5.9</v>
      </c>
      <c r="G4" s="17">
        <v>2.3</v>
      </c>
      <c r="H4" s="19">
        <v>7.57</v>
      </c>
      <c r="I4" s="19">
        <v>5.94</v>
      </c>
      <c r="J4" s="21">
        <v>0.304</v>
      </c>
    </row>
    <row r="5" spans="2:10" ht="15" customHeight="1">
      <c r="B5" s="67">
        <v>100</v>
      </c>
      <c r="C5" s="2">
        <v>100</v>
      </c>
      <c r="D5" s="2">
        <v>50</v>
      </c>
      <c r="E5" s="17">
        <v>4.5</v>
      </c>
      <c r="F5" s="17">
        <v>6.8</v>
      </c>
      <c r="G5" s="17">
        <v>2.7</v>
      </c>
      <c r="H5" s="19">
        <v>10.6</v>
      </c>
      <c r="I5" s="19">
        <v>8.34</v>
      </c>
      <c r="J5" s="21">
        <v>0.37</v>
      </c>
    </row>
    <row r="6" spans="2:10" ht="15" customHeight="1">
      <c r="B6" s="67">
        <v>120</v>
      </c>
      <c r="C6" s="2">
        <v>120</v>
      </c>
      <c r="D6" s="2">
        <v>58</v>
      </c>
      <c r="E6" s="17">
        <v>5.1</v>
      </c>
      <c r="F6" s="17">
        <v>7.7</v>
      </c>
      <c r="G6" s="17">
        <v>3.1</v>
      </c>
      <c r="H6" s="19">
        <v>14.2</v>
      </c>
      <c r="I6" s="19">
        <v>11.2</v>
      </c>
      <c r="J6" s="21">
        <v>0.439</v>
      </c>
    </row>
    <row r="7" spans="2:10" ht="15" customHeight="1">
      <c r="B7" s="67">
        <v>140</v>
      </c>
      <c r="C7" s="2">
        <v>140</v>
      </c>
      <c r="D7" s="2">
        <v>66</v>
      </c>
      <c r="E7" s="17">
        <v>5.7</v>
      </c>
      <c r="F7" s="17">
        <v>8.6</v>
      </c>
      <c r="G7" s="17">
        <v>3.4</v>
      </c>
      <c r="H7" s="19">
        <v>18.2</v>
      </c>
      <c r="I7" s="19">
        <v>14.3</v>
      </c>
      <c r="J7" s="21">
        <v>0.502</v>
      </c>
    </row>
    <row r="8" spans="2:10" ht="15" customHeight="1">
      <c r="B8" s="67">
        <v>160</v>
      </c>
      <c r="C8" s="2">
        <v>160</v>
      </c>
      <c r="D8" s="2">
        <v>74</v>
      </c>
      <c r="E8" s="17">
        <v>6.3</v>
      </c>
      <c r="F8" s="17">
        <v>9.5</v>
      </c>
      <c r="G8" s="17">
        <v>3.8</v>
      </c>
      <c r="H8" s="19">
        <v>22.8</v>
      </c>
      <c r="I8" s="19">
        <v>17.9</v>
      </c>
      <c r="J8" s="21">
        <v>0.575</v>
      </c>
    </row>
    <row r="9" spans="2:10" ht="15" customHeight="1">
      <c r="B9" s="67">
        <v>180</v>
      </c>
      <c r="C9" s="2">
        <v>180</v>
      </c>
      <c r="D9" s="2">
        <v>82</v>
      </c>
      <c r="E9" s="17">
        <v>6.9</v>
      </c>
      <c r="F9" s="17">
        <v>10.4</v>
      </c>
      <c r="G9" s="17">
        <v>4.1</v>
      </c>
      <c r="H9" s="19">
        <v>27.9</v>
      </c>
      <c r="I9" s="19">
        <v>21.9</v>
      </c>
      <c r="J9" s="21">
        <v>0.64</v>
      </c>
    </row>
    <row r="10" spans="2:10" ht="15" customHeight="1">
      <c r="B10" s="67">
        <v>200</v>
      </c>
      <c r="C10" s="2">
        <v>200</v>
      </c>
      <c r="D10" s="2">
        <v>90</v>
      </c>
      <c r="E10" s="17">
        <v>7.5</v>
      </c>
      <c r="F10" s="17">
        <v>11.3</v>
      </c>
      <c r="G10" s="17">
        <v>4.5</v>
      </c>
      <c r="H10" s="19">
        <v>33.5</v>
      </c>
      <c r="I10" s="19">
        <v>26.2</v>
      </c>
      <c r="J10" s="21">
        <v>0.709</v>
      </c>
    </row>
    <row r="11" spans="2:10" ht="15" customHeight="1">
      <c r="B11" s="67">
        <v>220</v>
      </c>
      <c r="C11" s="2">
        <v>220</v>
      </c>
      <c r="D11" s="2">
        <v>98</v>
      </c>
      <c r="E11" s="17">
        <v>8.1</v>
      </c>
      <c r="F11" s="17">
        <v>12.2</v>
      </c>
      <c r="G11" s="17">
        <v>4.9</v>
      </c>
      <c r="H11" s="19">
        <v>39.5</v>
      </c>
      <c r="I11" s="19">
        <v>31.1</v>
      </c>
      <c r="J11" s="21">
        <v>0.775</v>
      </c>
    </row>
    <row r="12" spans="2:10" ht="15" customHeight="1">
      <c r="B12" s="67">
        <v>240</v>
      </c>
      <c r="C12" s="2">
        <v>240</v>
      </c>
      <c r="D12" s="2">
        <v>106</v>
      </c>
      <c r="E12" s="17">
        <v>8.7</v>
      </c>
      <c r="F12" s="17">
        <v>13.1</v>
      </c>
      <c r="G12" s="17">
        <v>5.2</v>
      </c>
      <c r="H12" s="19">
        <v>46.1</v>
      </c>
      <c r="I12" s="19">
        <v>36.2</v>
      </c>
      <c r="J12" s="21">
        <v>0.844</v>
      </c>
    </row>
    <row r="13" spans="2:10" ht="15" customHeight="1">
      <c r="B13" s="67">
        <v>260</v>
      </c>
      <c r="C13" s="2">
        <v>260</v>
      </c>
      <c r="D13" s="2">
        <v>113</v>
      </c>
      <c r="E13" s="17">
        <v>9.4</v>
      </c>
      <c r="F13" s="17">
        <v>14.1</v>
      </c>
      <c r="G13" s="17">
        <v>5.6</v>
      </c>
      <c r="H13" s="19">
        <v>53.3</v>
      </c>
      <c r="I13" s="19">
        <v>41.9</v>
      </c>
      <c r="J13" s="21">
        <v>0.9</v>
      </c>
    </row>
    <row r="14" spans="2:10" ht="15" customHeight="1">
      <c r="B14" s="67">
        <v>280</v>
      </c>
      <c r="C14" s="2">
        <v>280</v>
      </c>
      <c r="D14" s="2">
        <v>119</v>
      </c>
      <c r="E14" s="17">
        <v>10.1</v>
      </c>
      <c r="F14" s="17">
        <v>15.2</v>
      </c>
      <c r="G14" s="17">
        <v>6.1</v>
      </c>
      <c r="H14" s="19">
        <v>61</v>
      </c>
      <c r="I14" s="19">
        <v>47.9</v>
      </c>
      <c r="J14" s="21">
        <v>0.966</v>
      </c>
    </row>
    <row r="15" spans="2:10" ht="15" customHeight="1">
      <c r="B15" s="67">
        <v>300</v>
      </c>
      <c r="C15" s="2">
        <v>300</v>
      </c>
      <c r="D15" s="2">
        <v>125</v>
      </c>
      <c r="E15" s="17">
        <v>10.8</v>
      </c>
      <c r="F15" s="17">
        <v>16.2</v>
      </c>
      <c r="G15" s="17">
        <v>6.5</v>
      </c>
      <c r="H15" s="19">
        <v>69</v>
      </c>
      <c r="I15" s="19">
        <v>54.2</v>
      </c>
      <c r="J15" s="21">
        <v>1.03</v>
      </c>
    </row>
    <row r="16" spans="2:10" ht="15" customHeight="1">
      <c r="B16" s="67">
        <v>320</v>
      </c>
      <c r="C16" s="2">
        <v>320</v>
      </c>
      <c r="D16" s="23">
        <v>131</v>
      </c>
      <c r="E16" s="28">
        <v>11.5</v>
      </c>
      <c r="F16" s="17">
        <v>17.3</v>
      </c>
      <c r="G16" s="28">
        <v>6.9</v>
      </c>
      <c r="H16" s="24">
        <v>77.7</v>
      </c>
      <c r="I16" s="24">
        <v>61</v>
      </c>
      <c r="J16" s="25">
        <v>1.09</v>
      </c>
    </row>
    <row r="17" spans="2:10" ht="15" customHeight="1">
      <c r="B17" s="67">
        <v>340</v>
      </c>
      <c r="C17" s="2">
        <v>340</v>
      </c>
      <c r="D17" s="23">
        <v>127</v>
      </c>
      <c r="E17" s="28">
        <v>12.2</v>
      </c>
      <c r="F17" s="17">
        <v>18.3</v>
      </c>
      <c r="G17" s="28">
        <v>7.3</v>
      </c>
      <c r="H17" s="24">
        <v>86.7</v>
      </c>
      <c r="I17" s="24">
        <v>68</v>
      </c>
      <c r="J17" s="25">
        <v>1.15</v>
      </c>
    </row>
    <row r="18" spans="2:10" ht="15" customHeight="1">
      <c r="B18" s="67">
        <v>360</v>
      </c>
      <c r="C18" s="2">
        <v>360</v>
      </c>
      <c r="D18" s="23">
        <v>143</v>
      </c>
      <c r="E18" s="28">
        <v>13</v>
      </c>
      <c r="F18" s="17">
        <v>19.5</v>
      </c>
      <c r="G18" s="28">
        <v>7.8</v>
      </c>
      <c r="H18" s="24">
        <v>97</v>
      </c>
      <c r="I18" s="24">
        <v>76.1</v>
      </c>
      <c r="J18" s="25">
        <v>1.21</v>
      </c>
    </row>
    <row r="19" spans="2:10" ht="15" customHeight="1">
      <c r="B19" s="67">
        <v>380</v>
      </c>
      <c r="C19" s="2">
        <v>380</v>
      </c>
      <c r="D19" s="2">
        <v>149</v>
      </c>
      <c r="E19" s="17">
        <v>13.7</v>
      </c>
      <c r="F19" s="17">
        <v>20.5</v>
      </c>
      <c r="G19" s="17">
        <v>8.2</v>
      </c>
      <c r="H19" s="19">
        <v>107</v>
      </c>
      <c r="I19" s="19">
        <v>84</v>
      </c>
      <c r="J19" s="21">
        <v>1.27</v>
      </c>
    </row>
    <row r="20" spans="2:10" ht="15" customHeight="1">
      <c r="B20" s="70">
        <v>400</v>
      </c>
      <c r="C20" s="26">
        <v>400</v>
      </c>
      <c r="D20" s="2">
        <v>155</v>
      </c>
      <c r="E20" s="17">
        <v>14.4</v>
      </c>
      <c r="F20" s="17">
        <v>21.6</v>
      </c>
      <c r="G20" s="17">
        <v>8.6</v>
      </c>
      <c r="H20" s="19">
        <v>118</v>
      </c>
      <c r="I20" s="19">
        <v>92.4</v>
      </c>
      <c r="J20" s="21">
        <v>1.33</v>
      </c>
    </row>
    <row r="21" spans="2:10" ht="15" customHeight="1">
      <c r="B21" s="70">
        <v>425</v>
      </c>
      <c r="C21" s="26">
        <v>425</v>
      </c>
      <c r="D21" s="2">
        <v>163</v>
      </c>
      <c r="E21" s="17">
        <v>15.3</v>
      </c>
      <c r="F21" s="17">
        <v>23</v>
      </c>
      <c r="G21" s="17">
        <v>9.2</v>
      </c>
      <c r="H21" s="19">
        <v>132</v>
      </c>
      <c r="I21" s="19">
        <v>104</v>
      </c>
      <c r="J21" s="21">
        <v>1.41</v>
      </c>
    </row>
    <row r="22" spans="2:10" ht="15" customHeight="1">
      <c r="B22" s="70">
        <v>450</v>
      </c>
      <c r="C22" s="26">
        <v>450</v>
      </c>
      <c r="D22" s="2">
        <v>170</v>
      </c>
      <c r="E22" s="17">
        <v>16.2</v>
      </c>
      <c r="F22" s="17">
        <v>24.3</v>
      </c>
      <c r="G22" s="17">
        <v>9.7</v>
      </c>
      <c r="H22" s="19">
        <v>147</v>
      </c>
      <c r="I22" s="19">
        <v>115</v>
      </c>
      <c r="J22" s="21">
        <v>1.48</v>
      </c>
    </row>
    <row r="23" spans="2:10" ht="15" customHeight="1">
      <c r="B23" s="70">
        <v>475</v>
      </c>
      <c r="C23" s="26">
        <v>475</v>
      </c>
      <c r="D23" s="2">
        <v>178</v>
      </c>
      <c r="E23" s="17">
        <v>17.1</v>
      </c>
      <c r="F23" s="17">
        <v>25.6</v>
      </c>
      <c r="G23" s="17">
        <v>10.3</v>
      </c>
      <c r="H23" s="19">
        <v>163</v>
      </c>
      <c r="I23" s="19">
        <v>128</v>
      </c>
      <c r="J23" s="21">
        <v>1.55</v>
      </c>
    </row>
    <row r="24" spans="2:10" ht="15" customHeight="1">
      <c r="B24" s="70">
        <v>500</v>
      </c>
      <c r="C24" s="26">
        <v>500</v>
      </c>
      <c r="D24" s="2">
        <v>185</v>
      </c>
      <c r="E24" s="17">
        <v>18</v>
      </c>
      <c r="F24" s="17">
        <v>27</v>
      </c>
      <c r="G24" s="17">
        <v>10.8</v>
      </c>
      <c r="H24" s="19">
        <v>179</v>
      </c>
      <c r="I24" s="19">
        <v>141</v>
      </c>
      <c r="J24" s="21">
        <v>1.63</v>
      </c>
    </row>
    <row r="25" spans="2:10" ht="15" customHeight="1">
      <c r="B25" s="70">
        <v>550</v>
      </c>
      <c r="C25" s="26">
        <v>550</v>
      </c>
      <c r="D25" s="2">
        <v>200</v>
      </c>
      <c r="E25" s="17">
        <v>19</v>
      </c>
      <c r="F25" s="17">
        <v>30</v>
      </c>
      <c r="G25" s="17">
        <v>11.9</v>
      </c>
      <c r="H25" s="19">
        <v>212</v>
      </c>
      <c r="I25" s="19">
        <v>166</v>
      </c>
      <c r="J25" s="21">
        <v>1.8</v>
      </c>
    </row>
    <row r="26" spans="2:10" ht="13.5" thickBot="1">
      <c r="B26" s="71">
        <v>600</v>
      </c>
      <c r="C26" s="27">
        <v>600</v>
      </c>
      <c r="D26" s="12">
        <v>215</v>
      </c>
      <c r="E26" s="18">
        <v>21.6</v>
      </c>
      <c r="F26" s="18">
        <v>32.4</v>
      </c>
      <c r="G26" s="18">
        <v>13</v>
      </c>
      <c r="H26" s="20">
        <v>254</v>
      </c>
      <c r="I26" s="20">
        <v>199</v>
      </c>
      <c r="J26" s="22">
        <v>1.92</v>
      </c>
    </row>
    <row r="27" ht="13.5" thickTop="1"/>
  </sheetData>
  <sheetProtection/>
  <mergeCells count="2">
    <mergeCell ref="B1:J1"/>
    <mergeCell ref="B2:B3"/>
  </mergeCells>
  <printOptions/>
  <pageMargins left="0.9448818897637796" right="0.35433070866141736" top="0.984251968503937"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indexed="20"/>
  </sheetPr>
  <dimension ref="B1:J35"/>
  <sheetViews>
    <sheetView showGridLines="0" zoomScalePageLayoutView="0" workbookViewId="0" topLeftCell="A1">
      <selection activeCell="B1" sqref="B1:J1"/>
    </sheetView>
  </sheetViews>
  <sheetFormatPr defaultColWidth="9.00390625" defaultRowHeight="12.75"/>
  <cols>
    <col min="1" max="1" width="2.625" style="0" customWidth="1"/>
    <col min="2" max="8" width="8.625" style="0" customWidth="1"/>
  </cols>
  <sheetData>
    <row r="1" spans="2:10" ht="19.5" customHeight="1" thickTop="1">
      <c r="B1" s="277" t="s">
        <v>30</v>
      </c>
      <c r="C1" s="278"/>
      <c r="D1" s="278"/>
      <c r="E1" s="278"/>
      <c r="F1" s="278"/>
      <c r="G1" s="278"/>
      <c r="H1" s="278"/>
      <c r="I1" s="278"/>
      <c r="J1" s="279"/>
    </row>
    <row r="2" spans="2:10" ht="15" customHeight="1">
      <c r="B2" s="288" t="s">
        <v>7</v>
      </c>
      <c r="C2" s="15" t="s">
        <v>18</v>
      </c>
      <c r="D2" s="15" t="s">
        <v>17</v>
      </c>
      <c r="E2" s="15" t="s">
        <v>35</v>
      </c>
      <c r="F2" s="15" t="s">
        <v>19</v>
      </c>
      <c r="G2" s="15" t="s">
        <v>21</v>
      </c>
      <c r="H2" s="15" t="s">
        <v>2</v>
      </c>
      <c r="I2" s="15" t="s">
        <v>0</v>
      </c>
      <c r="J2" s="16" t="s">
        <v>7</v>
      </c>
    </row>
    <row r="3" spans="2:10" ht="15" customHeight="1">
      <c r="B3" s="288"/>
      <c r="C3" s="15" t="s">
        <v>22</v>
      </c>
      <c r="D3" s="15" t="s">
        <v>22</v>
      </c>
      <c r="E3" s="15" t="s">
        <v>22</v>
      </c>
      <c r="F3" s="15" t="s">
        <v>22</v>
      </c>
      <c r="G3" s="15" t="s">
        <v>22</v>
      </c>
      <c r="H3" s="15" t="s">
        <v>3</v>
      </c>
      <c r="I3" s="15" t="s">
        <v>23</v>
      </c>
      <c r="J3" s="16" t="s">
        <v>24</v>
      </c>
    </row>
    <row r="4" spans="2:10" ht="15" customHeight="1">
      <c r="B4" s="67" t="s">
        <v>26</v>
      </c>
      <c r="C4" s="2">
        <v>30</v>
      </c>
      <c r="D4" s="2">
        <v>15</v>
      </c>
      <c r="E4" s="2">
        <v>4</v>
      </c>
      <c r="F4" s="2">
        <v>4.5</v>
      </c>
      <c r="G4" s="2">
        <v>2</v>
      </c>
      <c r="H4" s="19">
        <v>2.21</v>
      </c>
      <c r="I4" s="19">
        <v>1.74</v>
      </c>
      <c r="J4" s="21">
        <v>0.103</v>
      </c>
    </row>
    <row r="5" spans="2:10" ht="15" customHeight="1">
      <c r="B5" s="67">
        <v>30</v>
      </c>
      <c r="C5" s="2">
        <v>30</v>
      </c>
      <c r="D5" s="2">
        <v>33</v>
      </c>
      <c r="E5" s="2">
        <v>5</v>
      </c>
      <c r="F5" s="2">
        <v>7</v>
      </c>
      <c r="G5" s="2">
        <v>3.5</v>
      </c>
      <c r="H5" s="19">
        <v>5.44</v>
      </c>
      <c r="I5" s="19">
        <v>4.27</v>
      </c>
      <c r="J5" s="21">
        <v>0.174</v>
      </c>
    </row>
    <row r="6" spans="2:10" ht="15" customHeight="1">
      <c r="B6" s="67" t="s">
        <v>27</v>
      </c>
      <c r="C6" s="2">
        <v>40</v>
      </c>
      <c r="D6" s="2">
        <v>20</v>
      </c>
      <c r="E6" s="2">
        <v>5</v>
      </c>
      <c r="F6" s="2">
        <v>5.5</v>
      </c>
      <c r="G6" s="2">
        <v>2.5</v>
      </c>
      <c r="H6" s="19">
        <v>3.66</v>
      </c>
      <c r="I6" s="19">
        <v>2.87</v>
      </c>
      <c r="J6" s="21">
        <v>0.142</v>
      </c>
    </row>
    <row r="7" spans="2:10" ht="15" customHeight="1">
      <c r="B7" s="67">
        <v>40</v>
      </c>
      <c r="C7" s="2">
        <v>40</v>
      </c>
      <c r="D7" s="2">
        <v>35</v>
      </c>
      <c r="E7" s="2">
        <v>5</v>
      </c>
      <c r="F7" s="2">
        <v>7</v>
      </c>
      <c r="G7" s="2">
        <v>3.5</v>
      </c>
      <c r="H7" s="19">
        <v>6.21</v>
      </c>
      <c r="I7" s="19">
        <v>4.87</v>
      </c>
      <c r="J7" s="21">
        <v>0.199</v>
      </c>
    </row>
    <row r="8" spans="2:10" ht="15" customHeight="1">
      <c r="B8" s="67" t="s">
        <v>28</v>
      </c>
      <c r="C8" s="2">
        <v>50</v>
      </c>
      <c r="D8" s="2">
        <v>25</v>
      </c>
      <c r="E8" s="2">
        <v>5</v>
      </c>
      <c r="F8" s="2">
        <v>6</v>
      </c>
      <c r="G8" s="2">
        <v>3</v>
      </c>
      <c r="H8" s="19">
        <v>4.92</v>
      </c>
      <c r="I8" s="19">
        <v>3.86</v>
      </c>
      <c r="J8" s="21">
        <v>0.181</v>
      </c>
    </row>
    <row r="9" spans="2:10" ht="15" customHeight="1">
      <c r="B9" s="67">
        <v>50</v>
      </c>
      <c r="C9" s="2">
        <v>50</v>
      </c>
      <c r="D9" s="2">
        <v>38</v>
      </c>
      <c r="E9" s="2">
        <v>5</v>
      </c>
      <c r="F9" s="2">
        <v>7</v>
      </c>
      <c r="G9" s="2">
        <v>3.5</v>
      </c>
      <c r="H9" s="19">
        <v>7.12</v>
      </c>
      <c r="I9" s="19">
        <v>5.59</v>
      </c>
      <c r="J9" s="21">
        <v>0.232</v>
      </c>
    </row>
    <row r="10" spans="2:10" ht="15" customHeight="1">
      <c r="B10" s="67">
        <v>60</v>
      </c>
      <c r="C10" s="2">
        <v>60</v>
      </c>
      <c r="D10" s="2">
        <v>30</v>
      </c>
      <c r="E10" s="2">
        <v>6</v>
      </c>
      <c r="F10" s="2">
        <v>6</v>
      </c>
      <c r="G10" s="2">
        <v>3</v>
      </c>
      <c r="H10" s="19">
        <v>6.46</v>
      </c>
      <c r="I10" s="19">
        <v>5.07</v>
      </c>
      <c r="J10" s="21">
        <v>0.215</v>
      </c>
    </row>
    <row r="11" spans="2:10" ht="15" customHeight="1">
      <c r="B11" s="67">
        <v>65</v>
      </c>
      <c r="C11" s="2">
        <v>65</v>
      </c>
      <c r="D11" s="2">
        <v>42</v>
      </c>
      <c r="E11" s="2">
        <v>5.5</v>
      </c>
      <c r="F11" s="2">
        <v>7.5</v>
      </c>
      <c r="G11" s="2">
        <v>4</v>
      </c>
      <c r="H11" s="19">
        <v>9.03</v>
      </c>
      <c r="I11" s="19">
        <v>7.09</v>
      </c>
      <c r="J11" s="21">
        <v>0.273</v>
      </c>
    </row>
    <row r="12" spans="2:10" ht="15" customHeight="1">
      <c r="B12" s="67">
        <v>80</v>
      </c>
      <c r="C12" s="2">
        <v>80</v>
      </c>
      <c r="D12" s="2">
        <v>45</v>
      </c>
      <c r="E12" s="2">
        <v>6</v>
      </c>
      <c r="F12" s="2">
        <v>8</v>
      </c>
      <c r="G12" s="2">
        <v>4</v>
      </c>
      <c r="H12" s="19">
        <v>11</v>
      </c>
      <c r="I12" s="19">
        <v>8.64</v>
      </c>
      <c r="J12" s="21">
        <v>0.312</v>
      </c>
    </row>
    <row r="13" spans="2:10" ht="15" customHeight="1">
      <c r="B13" s="67">
        <v>100</v>
      </c>
      <c r="C13" s="2">
        <v>100</v>
      </c>
      <c r="D13" s="2">
        <v>50</v>
      </c>
      <c r="E13" s="2">
        <v>6</v>
      </c>
      <c r="F13" s="2">
        <v>8.5</v>
      </c>
      <c r="G13" s="2">
        <v>4.5</v>
      </c>
      <c r="H13" s="19">
        <v>13.5</v>
      </c>
      <c r="I13" s="19">
        <v>10.6</v>
      </c>
      <c r="J13" s="21">
        <v>0.372</v>
      </c>
    </row>
    <row r="14" spans="2:10" ht="15" customHeight="1">
      <c r="B14" s="67">
        <v>120</v>
      </c>
      <c r="C14" s="2">
        <v>120</v>
      </c>
      <c r="D14" s="2">
        <v>55</v>
      </c>
      <c r="E14" s="2">
        <v>7</v>
      </c>
      <c r="F14" s="2">
        <v>9</v>
      </c>
      <c r="G14" s="2">
        <v>4.5</v>
      </c>
      <c r="H14" s="19">
        <v>17</v>
      </c>
      <c r="I14" s="19">
        <v>13.4</v>
      </c>
      <c r="J14" s="21">
        <v>0.434</v>
      </c>
    </row>
    <row r="15" spans="2:10" ht="15" customHeight="1">
      <c r="B15" s="67">
        <v>140</v>
      </c>
      <c r="C15" s="2">
        <v>140</v>
      </c>
      <c r="D15" s="2">
        <v>60</v>
      </c>
      <c r="E15" s="2">
        <v>7</v>
      </c>
      <c r="F15" s="2">
        <v>10</v>
      </c>
      <c r="G15" s="2">
        <v>5</v>
      </c>
      <c r="H15" s="19">
        <v>20.4</v>
      </c>
      <c r="I15" s="19">
        <v>16</v>
      </c>
      <c r="J15" s="21">
        <v>0.489</v>
      </c>
    </row>
    <row r="16" spans="2:10" ht="15" customHeight="1">
      <c r="B16" s="67">
        <v>160</v>
      </c>
      <c r="C16" s="2">
        <v>160</v>
      </c>
      <c r="D16" s="2">
        <v>65</v>
      </c>
      <c r="E16" s="2">
        <v>7.5</v>
      </c>
      <c r="F16" s="2">
        <v>10.5</v>
      </c>
      <c r="G16" s="2">
        <v>5.5</v>
      </c>
      <c r="H16" s="19">
        <v>24</v>
      </c>
      <c r="I16" s="19">
        <v>18.8</v>
      </c>
      <c r="J16" s="21">
        <v>0.546</v>
      </c>
    </row>
    <row r="17" spans="2:10" ht="15" customHeight="1">
      <c r="B17" s="67">
        <v>180</v>
      </c>
      <c r="C17" s="2">
        <v>180</v>
      </c>
      <c r="D17" s="2">
        <v>70</v>
      </c>
      <c r="E17" s="2">
        <v>8</v>
      </c>
      <c r="F17" s="2">
        <v>11</v>
      </c>
      <c r="G17" s="2">
        <v>5.5</v>
      </c>
      <c r="H17" s="19">
        <v>28</v>
      </c>
      <c r="I17" s="19">
        <v>22</v>
      </c>
      <c r="J17" s="21">
        <v>0.611</v>
      </c>
    </row>
    <row r="18" spans="2:10" ht="15" customHeight="1">
      <c r="B18" s="67">
        <v>200</v>
      </c>
      <c r="C18" s="2">
        <v>200</v>
      </c>
      <c r="D18" s="2">
        <v>75</v>
      </c>
      <c r="E18" s="2">
        <v>8.5</v>
      </c>
      <c r="F18" s="2">
        <v>11.5</v>
      </c>
      <c r="G18" s="2">
        <v>6</v>
      </c>
      <c r="H18" s="19">
        <v>32.2</v>
      </c>
      <c r="I18" s="19">
        <v>25.3</v>
      </c>
      <c r="J18" s="21">
        <v>0.661</v>
      </c>
    </row>
    <row r="19" spans="2:10" ht="15" customHeight="1">
      <c r="B19" s="67">
        <v>220</v>
      </c>
      <c r="C19" s="2">
        <v>220</v>
      </c>
      <c r="D19" s="2">
        <v>80</v>
      </c>
      <c r="E19" s="2">
        <v>9</v>
      </c>
      <c r="F19" s="2">
        <v>12.5</v>
      </c>
      <c r="G19" s="2">
        <v>6.5</v>
      </c>
      <c r="H19" s="19">
        <v>37.4</v>
      </c>
      <c r="I19" s="19">
        <v>29.4</v>
      </c>
      <c r="J19" s="21">
        <v>0.718</v>
      </c>
    </row>
    <row r="20" spans="2:10" ht="15" customHeight="1">
      <c r="B20" s="67">
        <v>240</v>
      </c>
      <c r="C20" s="2">
        <v>240</v>
      </c>
      <c r="D20" s="2">
        <v>85</v>
      </c>
      <c r="E20" s="2">
        <v>9.5</v>
      </c>
      <c r="F20" s="2">
        <v>13</v>
      </c>
      <c r="G20" s="2">
        <v>6.5</v>
      </c>
      <c r="H20" s="19">
        <v>42.3</v>
      </c>
      <c r="I20" s="19">
        <v>33.2</v>
      </c>
      <c r="J20" s="21">
        <v>0.775</v>
      </c>
    </row>
    <row r="21" spans="2:10" ht="15" customHeight="1">
      <c r="B21" s="67">
        <v>260</v>
      </c>
      <c r="C21" s="2">
        <v>260</v>
      </c>
      <c r="D21" s="2">
        <v>90</v>
      </c>
      <c r="E21" s="2">
        <v>10</v>
      </c>
      <c r="F21" s="2">
        <v>14</v>
      </c>
      <c r="G21" s="2">
        <v>7</v>
      </c>
      <c r="H21" s="19">
        <v>48.3</v>
      </c>
      <c r="I21" s="19">
        <v>37.9</v>
      </c>
      <c r="J21" s="21">
        <v>0.834</v>
      </c>
    </row>
    <row r="22" spans="2:10" ht="15" customHeight="1">
      <c r="B22" s="68">
        <v>280</v>
      </c>
      <c r="C22" s="23">
        <v>280</v>
      </c>
      <c r="D22" s="2">
        <v>95</v>
      </c>
      <c r="E22" s="23">
        <v>10</v>
      </c>
      <c r="F22" s="23">
        <v>15</v>
      </c>
      <c r="G22" s="23">
        <v>7.5</v>
      </c>
      <c r="H22" s="24">
        <v>53.3</v>
      </c>
      <c r="I22" s="24">
        <v>41.8</v>
      </c>
      <c r="J22" s="25">
        <v>0.89</v>
      </c>
    </row>
    <row r="23" spans="2:10" ht="15" customHeight="1">
      <c r="B23" s="68">
        <v>300</v>
      </c>
      <c r="C23" s="23">
        <v>300</v>
      </c>
      <c r="D23" s="2">
        <v>100</v>
      </c>
      <c r="E23" s="23">
        <v>10</v>
      </c>
      <c r="F23" s="23">
        <v>16</v>
      </c>
      <c r="G23" s="23">
        <v>8</v>
      </c>
      <c r="H23" s="24">
        <v>58.8</v>
      </c>
      <c r="I23" s="24">
        <v>46.2</v>
      </c>
      <c r="J23" s="25">
        <v>0.95</v>
      </c>
    </row>
    <row r="24" spans="2:10" ht="15" customHeight="1">
      <c r="B24" s="68">
        <v>320</v>
      </c>
      <c r="C24" s="23">
        <v>320</v>
      </c>
      <c r="D24" s="2">
        <v>100</v>
      </c>
      <c r="E24" s="23">
        <v>14</v>
      </c>
      <c r="F24" s="23">
        <v>17.5</v>
      </c>
      <c r="G24" s="23">
        <v>8.75</v>
      </c>
      <c r="H24" s="24">
        <v>75.8</v>
      </c>
      <c r="I24" s="24">
        <v>59.5</v>
      </c>
      <c r="J24" s="25">
        <v>0.982</v>
      </c>
    </row>
    <row r="25" spans="2:10" ht="15" customHeight="1">
      <c r="B25" s="68">
        <v>350</v>
      </c>
      <c r="C25" s="23">
        <v>350</v>
      </c>
      <c r="D25" s="2">
        <v>100</v>
      </c>
      <c r="E25" s="23">
        <v>14</v>
      </c>
      <c r="F25" s="23">
        <v>16</v>
      </c>
      <c r="G25" s="23">
        <v>8</v>
      </c>
      <c r="H25" s="24">
        <v>77.3</v>
      </c>
      <c r="I25" s="24">
        <v>60</v>
      </c>
      <c r="J25" s="25">
        <v>1.047</v>
      </c>
    </row>
    <row r="26" spans="2:10" ht="15" customHeight="1">
      <c r="B26" s="68">
        <v>380</v>
      </c>
      <c r="C26" s="23">
        <v>380</v>
      </c>
      <c r="D26" s="2">
        <v>102</v>
      </c>
      <c r="E26" s="23">
        <v>13.5</v>
      </c>
      <c r="F26" s="23">
        <v>16</v>
      </c>
      <c r="G26" s="23">
        <v>8</v>
      </c>
      <c r="H26" s="24">
        <v>80.4</v>
      </c>
      <c r="I26" s="24">
        <v>63.1</v>
      </c>
      <c r="J26" s="25">
        <v>1.11</v>
      </c>
    </row>
    <row r="27" spans="2:10" ht="15" customHeight="1" thickBot="1">
      <c r="B27" s="69">
        <v>400</v>
      </c>
      <c r="C27" s="12">
        <v>400</v>
      </c>
      <c r="D27" s="12">
        <v>110</v>
      </c>
      <c r="E27" s="12">
        <v>14</v>
      </c>
      <c r="F27" s="12">
        <v>18</v>
      </c>
      <c r="G27" s="12">
        <v>9</v>
      </c>
      <c r="H27" s="20">
        <v>91.5</v>
      </c>
      <c r="I27" s="20">
        <v>71.8</v>
      </c>
      <c r="J27" s="22">
        <v>1.182</v>
      </c>
    </row>
    <row r="28" spans="2:10" ht="15" customHeight="1" thickTop="1">
      <c r="B28" s="1"/>
      <c r="C28" s="1"/>
      <c r="D28" s="1"/>
      <c r="E28" s="1"/>
      <c r="F28" s="1"/>
      <c r="G28" s="1"/>
      <c r="H28" s="1"/>
      <c r="I28" s="1"/>
      <c r="J28" s="1"/>
    </row>
    <row r="29" spans="2:10" ht="15" customHeight="1">
      <c r="B29" s="1"/>
      <c r="C29" s="1"/>
      <c r="D29" s="1"/>
      <c r="E29" s="1"/>
      <c r="F29" s="1"/>
      <c r="G29" s="1"/>
      <c r="H29" s="1"/>
      <c r="I29" s="1"/>
      <c r="J29" s="1"/>
    </row>
    <row r="30" spans="2:10" ht="15" customHeight="1">
      <c r="B30" s="1"/>
      <c r="C30" s="1"/>
      <c r="D30" s="1"/>
      <c r="E30" s="1"/>
      <c r="F30" s="1"/>
      <c r="G30" s="1"/>
      <c r="H30" s="1"/>
      <c r="I30" s="1"/>
      <c r="J30" s="1"/>
    </row>
    <row r="31" spans="2:10" ht="15" customHeight="1">
      <c r="B31" s="1"/>
      <c r="C31" s="1"/>
      <c r="D31" s="1"/>
      <c r="E31" s="1"/>
      <c r="F31" s="1"/>
      <c r="G31" s="1"/>
      <c r="H31" s="1"/>
      <c r="I31" s="1"/>
      <c r="J31" s="1"/>
    </row>
    <row r="32" spans="2:10" ht="15" customHeight="1">
      <c r="B32" s="1"/>
      <c r="C32" s="1"/>
      <c r="D32" s="1"/>
      <c r="E32" s="1"/>
      <c r="F32" s="1"/>
      <c r="G32" s="1"/>
      <c r="H32" s="1"/>
      <c r="I32" s="1"/>
      <c r="J32" s="1"/>
    </row>
    <row r="33" spans="2:10" ht="15" customHeight="1">
      <c r="B33" s="1"/>
      <c r="C33" s="1"/>
      <c r="D33" s="1"/>
      <c r="E33" s="1"/>
      <c r="F33" s="1"/>
      <c r="G33" s="1"/>
      <c r="H33" s="1"/>
      <c r="I33" s="1"/>
      <c r="J33" s="1"/>
    </row>
    <row r="34" spans="2:10" ht="15" customHeight="1">
      <c r="B34" s="1"/>
      <c r="C34" s="1"/>
      <c r="D34" s="1"/>
      <c r="E34" s="1"/>
      <c r="F34" s="1"/>
      <c r="G34" s="1"/>
      <c r="H34" s="1"/>
      <c r="I34" s="1"/>
      <c r="J34" s="1"/>
    </row>
    <row r="35" spans="2:10" ht="15" customHeight="1">
      <c r="B35" s="1"/>
      <c r="C35" s="1"/>
      <c r="D35" s="1"/>
      <c r="E35" s="1"/>
      <c r="F35" s="1"/>
      <c r="G35" s="1"/>
      <c r="H35" s="1"/>
      <c r="I35" s="1"/>
      <c r="J35" s="1"/>
    </row>
    <row r="36" ht="15" customHeight="1"/>
    <row r="37" ht="15" customHeight="1"/>
    <row r="38" ht="15" customHeight="1"/>
    <row r="39" ht="15" customHeight="1"/>
    <row r="40" ht="15" customHeight="1"/>
    <row r="41" ht="15" customHeight="1"/>
    <row r="42" ht="15" customHeight="1"/>
  </sheetData>
  <sheetProtection/>
  <mergeCells count="2">
    <mergeCell ref="B1:J1"/>
    <mergeCell ref="B2:B3"/>
  </mergeCells>
  <printOptions/>
  <pageMargins left="0.9448818897637796" right="0.35433070866141736" top="0.984251968503937" bottom="0.3937007874015748"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tabColor indexed="17"/>
  </sheetPr>
  <dimension ref="B1:M1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B1" sqref="B1:K1"/>
    </sheetView>
  </sheetViews>
  <sheetFormatPr defaultColWidth="9.00390625" defaultRowHeight="12.75"/>
  <cols>
    <col min="1" max="1" width="2.625" style="0" customWidth="1"/>
    <col min="2" max="11" width="8.625" style="0" customWidth="1"/>
  </cols>
  <sheetData>
    <row r="1" spans="2:11" ht="19.5" customHeight="1" thickTop="1">
      <c r="B1" s="277" t="s">
        <v>31</v>
      </c>
      <c r="C1" s="301"/>
      <c r="D1" s="278"/>
      <c r="E1" s="278"/>
      <c r="F1" s="278"/>
      <c r="G1" s="278"/>
      <c r="H1" s="278"/>
      <c r="I1" s="278"/>
      <c r="J1" s="278"/>
      <c r="K1" s="279"/>
    </row>
    <row r="2" spans="2:11" ht="15" customHeight="1">
      <c r="B2" s="302" t="s">
        <v>29</v>
      </c>
      <c r="C2" s="303"/>
      <c r="D2" s="15" t="s">
        <v>42</v>
      </c>
      <c r="E2" s="15" t="s">
        <v>17</v>
      </c>
      <c r="F2" s="15" t="s">
        <v>35</v>
      </c>
      <c r="G2" s="15" t="s">
        <v>41</v>
      </c>
      <c r="H2" s="15" t="s">
        <v>21</v>
      </c>
      <c r="I2" s="15" t="s">
        <v>2</v>
      </c>
      <c r="J2" s="15" t="s">
        <v>0</v>
      </c>
      <c r="K2" s="16" t="s">
        <v>7</v>
      </c>
    </row>
    <row r="3" spans="2:11" ht="15" customHeight="1">
      <c r="B3" s="304"/>
      <c r="C3" s="305"/>
      <c r="D3" s="15" t="s">
        <v>22</v>
      </c>
      <c r="E3" s="15" t="s">
        <v>22</v>
      </c>
      <c r="F3" s="15" t="s">
        <v>22</v>
      </c>
      <c r="G3" s="15" t="s">
        <v>22</v>
      </c>
      <c r="H3" s="15" t="s">
        <v>22</v>
      </c>
      <c r="I3" s="15" t="s">
        <v>3</v>
      </c>
      <c r="J3" s="15" t="s">
        <v>23</v>
      </c>
      <c r="K3" s="16" t="s">
        <v>24</v>
      </c>
    </row>
    <row r="4" spans="2:11" ht="15" customHeight="1">
      <c r="B4" s="306">
        <v>20</v>
      </c>
      <c r="C4" s="65">
        <v>3</v>
      </c>
      <c r="D4" s="289">
        <v>20</v>
      </c>
      <c r="E4" s="289">
        <v>20</v>
      </c>
      <c r="F4" s="36">
        <v>3</v>
      </c>
      <c r="G4" s="289">
        <v>3.5</v>
      </c>
      <c r="H4" s="289">
        <v>2</v>
      </c>
      <c r="I4" s="40">
        <v>1.12</v>
      </c>
      <c r="J4" s="40">
        <v>0.88</v>
      </c>
      <c r="K4" s="292">
        <v>0.077</v>
      </c>
    </row>
    <row r="5" spans="2:11" ht="15" customHeight="1">
      <c r="B5" s="307"/>
      <c r="C5" s="65">
        <v>4</v>
      </c>
      <c r="D5" s="298"/>
      <c r="E5" s="298"/>
      <c r="F5" s="36">
        <v>4</v>
      </c>
      <c r="G5" s="298"/>
      <c r="H5" s="298"/>
      <c r="I5" s="40">
        <v>1.45</v>
      </c>
      <c r="J5" s="40">
        <v>1.14</v>
      </c>
      <c r="K5" s="300"/>
    </row>
    <row r="6" spans="2:11" ht="15" customHeight="1">
      <c r="B6" s="295">
        <v>25</v>
      </c>
      <c r="C6" s="31">
        <v>3</v>
      </c>
      <c r="D6" s="289">
        <v>25</v>
      </c>
      <c r="E6" s="289">
        <v>25</v>
      </c>
      <c r="F6" s="35">
        <v>3</v>
      </c>
      <c r="G6" s="289">
        <v>3.5</v>
      </c>
      <c r="H6" s="289">
        <v>2</v>
      </c>
      <c r="I6" s="40">
        <v>1.42</v>
      </c>
      <c r="J6" s="40">
        <v>1.12</v>
      </c>
      <c r="K6" s="292">
        <v>0.097</v>
      </c>
    </row>
    <row r="7" spans="2:11" ht="15" customHeight="1">
      <c r="B7" s="296"/>
      <c r="C7" s="31">
        <v>4</v>
      </c>
      <c r="D7" s="290"/>
      <c r="E7" s="290"/>
      <c r="F7" s="35">
        <v>4</v>
      </c>
      <c r="G7" s="290"/>
      <c r="H7" s="290"/>
      <c r="I7" s="40">
        <v>1.85</v>
      </c>
      <c r="J7" s="40">
        <v>1.45</v>
      </c>
      <c r="K7" s="293"/>
    </row>
    <row r="8" spans="2:11" ht="15" customHeight="1">
      <c r="B8" s="297"/>
      <c r="C8" s="31">
        <v>5</v>
      </c>
      <c r="D8" s="298"/>
      <c r="E8" s="298"/>
      <c r="F8" s="35">
        <v>5</v>
      </c>
      <c r="G8" s="298"/>
      <c r="H8" s="298"/>
      <c r="I8" s="40">
        <v>2.26</v>
      </c>
      <c r="J8" s="40">
        <v>1.77</v>
      </c>
      <c r="K8" s="300"/>
    </row>
    <row r="9" spans="2:11" ht="15" customHeight="1">
      <c r="B9" s="295">
        <v>30</v>
      </c>
      <c r="C9" s="31">
        <v>3</v>
      </c>
      <c r="D9" s="289">
        <v>30</v>
      </c>
      <c r="E9" s="289">
        <v>30</v>
      </c>
      <c r="F9" s="35">
        <v>3</v>
      </c>
      <c r="G9" s="289">
        <v>5</v>
      </c>
      <c r="H9" s="289">
        <v>2.5</v>
      </c>
      <c r="I9" s="40">
        <v>1.74</v>
      </c>
      <c r="J9" s="40">
        <v>1.36</v>
      </c>
      <c r="K9" s="292">
        <v>0.116</v>
      </c>
    </row>
    <row r="10" spans="2:11" ht="15" customHeight="1">
      <c r="B10" s="296"/>
      <c r="C10" s="31">
        <v>4</v>
      </c>
      <c r="D10" s="290"/>
      <c r="E10" s="290"/>
      <c r="F10" s="35">
        <v>4</v>
      </c>
      <c r="G10" s="290"/>
      <c r="H10" s="290"/>
      <c r="I10" s="40">
        <v>2.27</v>
      </c>
      <c r="J10" s="40">
        <v>1.78</v>
      </c>
      <c r="K10" s="293"/>
    </row>
    <row r="11" spans="2:11" ht="15" customHeight="1">
      <c r="B11" s="297"/>
      <c r="C11" s="31">
        <v>5</v>
      </c>
      <c r="D11" s="298"/>
      <c r="E11" s="298"/>
      <c r="F11" s="35">
        <v>5</v>
      </c>
      <c r="G11" s="298"/>
      <c r="H11" s="298"/>
      <c r="I11" s="40">
        <v>2.78</v>
      </c>
      <c r="J11" s="40">
        <v>2.18</v>
      </c>
      <c r="K11" s="300"/>
    </row>
    <row r="12" spans="2:11" ht="15" customHeight="1">
      <c r="B12" s="295">
        <v>35</v>
      </c>
      <c r="C12" s="31">
        <v>3</v>
      </c>
      <c r="D12" s="289">
        <v>35</v>
      </c>
      <c r="E12" s="289">
        <v>35</v>
      </c>
      <c r="F12" s="35">
        <v>3</v>
      </c>
      <c r="G12" s="289">
        <v>5</v>
      </c>
      <c r="H12" s="289">
        <v>2.5</v>
      </c>
      <c r="I12" s="40">
        <v>2.04</v>
      </c>
      <c r="J12" s="40">
        <v>1.6</v>
      </c>
      <c r="K12" s="292">
        <v>0.136</v>
      </c>
    </row>
    <row r="13" spans="2:11" ht="15" customHeight="1">
      <c r="B13" s="296"/>
      <c r="C13" s="31">
        <v>4</v>
      </c>
      <c r="D13" s="290"/>
      <c r="E13" s="290"/>
      <c r="F13" s="35">
        <v>4</v>
      </c>
      <c r="G13" s="290"/>
      <c r="H13" s="290"/>
      <c r="I13" s="40">
        <v>2.67</v>
      </c>
      <c r="J13" s="40">
        <v>2.1</v>
      </c>
      <c r="K13" s="293"/>
    </row>
    <row r="14" spans="2:11" ht="15" customHeight="1">
      <c r="B14" s="296"/>
      <c r="C14" s="31">
        <v>5</v>
      </c>
      <c r="D14" s="290"/>
      <c r="E14" s="290"/>
      <c r="F14" s="35">
        <v>5</v>
      </c>
      <c r="G14" s="290"/>
      <c r="H14" s="290"/>
      <c r="I14" s="40">
        <v>3.28</v>
      </c>
      <c r="J14" s="40">
        <v>2.57</v>
      </c>
      <c r="K14" s="293"/>
    </row>
    <row r="15" spans="2:11" ht="15" customHeight="1">
      <c r="B15" s="297"/>
      <c r="C15" s="31">
        <v>6</v>
      </c>
      <c r="D15" s="298"/>
      <c r="E15" s="298"/>
      <c r="F15" s="35">
        <v>6</v>
      </c>
      <c r="G15" s="298"/>
      <c r="H15" s="298"/>
      <c r="I15" s="40">
        <v>3.87</v>
      </c>
      <c r="J15" s="40">
        <v>3.04</v>
      </c>
      <c r="K15" s="300"/>
    </row>
    <row r="16" spans="2:11" ht="15" customHeight="1">
      <c r="B16" s="295">
        <v>40</v>
      </c>
      <c r="C16" s="31">
        <v>3</v>
      </c>
      <c r="D16" s="289">
        <v>40</v>
      </c>
      <c r="E16" s="289">
        <v>40</v>
      </c>
      <c r="F16" s="35">
        <v>3</v>
      </c>
      <c r="G16" s="289">
        <v>6</v>
      </c>
      <c r="H16" s="289">
        <v>3</v>
      </c>
      <c r="I16" s="40">
        <v>2.35</v>
      </c>
      <c r="J16" s="40">
        <v>1.84</v>
      </c>
      <c r="K16" s="292">
        <v>0.155</v>
      </c>
    </row>
    <row r="17" spans="2:13" ht="15" customHeight="1">
      <c r="B17" s="296"/>
      <c r="C17" s="31">
        <v>4</v>
      </c>
      <c r="D17" s="290"/>
      <c r="E17" s="290"/>
      <c r="F17" s="35">
        <v>4</v>
      </c>
      <c r="G17" s="290"/>
      <c r="H17" s="290"/>
      <c r="I17" s="40">
        <v>3.08</v>
      </c>
      <c r="J17" s="40">
        <v>2.42</v>
      </c>
      <c r="K17" s="293"/>
      <c r="M17" s="100"/>
    </row>
    <row r="18" spans="2:11" ht="15" customHeight="1">
      <c r="B18" s="296"/>
      <c r="C18" s="31">
        <v>5</v>
      </c>
      <c r="D18" s="290"/>
      <c r="E18" s="290"/>
      <c r="F18" s="35">
        <v>5</v>
      </c>
      <c r="G18" s="290"/>
      <c r="H18" s="290"/>
      <c r="I18" s="40">
        <v>3.79</v>
      </c>
      <c r="J18" s="40">
        <v>2.97</v>
      </c>
      <c r="K18" s="293"/>
    </row>
    <row r="19" spans="2:11" ht="15" customHeight="1">
      <c r="B19" s="297"/>
      <c r="C19" s="31">
        <v>6</v>
      </c>
      <c r="D19" s="298"/>
      <c r="E19" s="298"/>
      <c r="F19" s="35">
        <v>6</v>
      </c>
      <c r="G19" s="298"/>
      <c r="H19" s="298"/>
      <c r="I19" s="40">
        <v>4.48</v>
      </c>
      <c r="J19" s="40">
        <v>3.52</v>
      </c>
      <c r="K19" s="300"/>
    </row>
    <row r="20" spans="2:11" ht="15" customHeight="1">
      <c r="B20" s="295">
        <v>45</v>
      </c>
      <c r="C20" s="31">
        <v>4</v>
      </c>
      <c r="D20" s="289">
        <v>45</v>
      </c>
      <c r="E20" s="289">
        <v>45</v>
      </c>
      <c r="F20" s="35">
        <v>4</v>
      </c>
      <c r="G20" s="289">
        <v>7</v>
      </c>
      <c r="H20" s="289">
        <v>3.5</v>
      </c>
      <c r="I20" s="40">
        <v>3.49</v>
      </c>
      <c r="J20" s="40">
        <v>2.74</v>
      </c>
      <c r="K20" s="292">
        <v>0.174</v>
      </c>
    </row>
    <row r="21" spans="2:11" ht="15" customHeight="1">
      <c r="B21" s="296"/>
      <c r="C21" s="31">
        <v>5</v>
      </c>
      <c r="D21" s="290"/>
      <c r="E21" s="290"/>
      <c r="F21" s="35">
        <v>5</v>
      </c>
      <c r="G21" s="290"/>
      <c r="H21" s="290"/>
      <c r="I21" s="40">
        <v>4.3</v>
      </c>
      <c r="J21" s="40">
        <v>3.38</v>
      </c>
      <c r="K21" s="293"/>
    </row>
    <row r="22" spans="2:11" ht="15" customHeight="1">
      <c r="B22" s="296"/>
      <c r="C22" s="31">
        <v>6</v>
      </c>
      <c r="D22" s="290"/>
      <c r="E22" s="290"/>
      <c r="F22" s="35">
        <v>6</v>
      </c>
      <c r="G22" s="290"/>
      <c r="H22" s="290"/>
      <c r="I22" s="40">
        <v>5.09</v>
      </c>
      <c r="J22" s="40">
        <v>4</v>
      </c>
      <c r="K22" s="293"/>
    </row>
    <row r="23" spans="2:11" ht="15" customHeight="1">
      <c r="B23" s="297"/>
      <c r="C23" s="31">
        <v>7</v>
      </c>
      <c r="D23" s="298"/>
      <c r="E23" s="298"/>
      <c r="F23" s="35">
        <v>7</v>
      </c>
      <c r="G23" s="298"/>
      <c r="H23" s="298"/>
      <c r="I23" s="40">
        <v>5.86</v>
      </c>
      <c r="J23" s="40">
        <v>4.6</v>
      </c>
      <c r="K23" s="300"/>
    </row>
    <row r="24" spans="2:11" ht="15" customHeight="1">
      <c r="B24" s="295">
        <v>50</v>
      </c>
      <c r="C24" s="31">
        <v>4</v>
      </c>
      <c r="D24" s="289">
        <v>50</v>
      </c>
      <c r="E24" s="289">
        <v>50</v>
      </c>
      <c r="F24" s="35">
        <v>4</v>
      </c>
      <c r="G24" s="289">
        <v>7</v>
      </c>
      <c r="H24" s="289">
        <v>3.5</v>
      </c>
      <c r="I24" s="40">
        <v>3.89</v>
      </c>
      <c r="J24" s="40">
        <v>3.06</v>
      </c>
      <c r="K24" s="292">
        <v>0.194</v>
      </c>
    </row>
    <row r="25" spans="2:11" ht="15" customHeight="1">
      <c r="B25" s="296"/>
      <c r="C25" s="31">
        <v>5</v>
      </c>
      <c r="D25" s="290"/>
      <c r="E25" s="290"/>
      <c r="F25" s="35">
        <v>5</v>
      </c>
      <c r="G25" s="290"/>
      <c r="H25" s="290"/>
      <c r="I25" s="40">
        <v>4.8</v>
      </c>
      <c r="J25" s="40">
        <v>3.77</v>
      </c>
      <c r="K25" s="293"/>
    </row>
    <row r="26" spans="2:11" ht="15" customHeight="1">
      <c r="B26" s="296"/>
      <c r="C26" s="31">
        <v>6</v>
      </c>
      <c r="D26" s="290"/>
      <c r="E26" s="290"/>
      <c r="F26" s="35">
        <v>6</v>
      </c>
      <c r="G26" s="290"/>
      <c r="H26" s="290"/>
      <c r="I26" s="40">
        <v>5.69</v>
      </c>
      <c r="J26" s="40">
        <v>4.47</v>
      </c>
      <c r="K26" s="293"/>
    </row>
    <row r="27" spans="2:11" ht="15" customHeight="1">
      <c r="B27" s="296"/>
      <c r="C27" s="31">
        <v>7</v>
      </c>
      <c r="D27" s="290"/>
      <c r="E27" s="290"/>
      <c r="F27" s="35">
        <v>7</v>
      </c>
      <c r="G27" s="290"/>
      <c r="H27" s="290"/>
      <c r="I27" s="40">
        <v>6.56</v>
      </c>
      <c r="J27" s="40">
        <v>5.15</v>
      </c>
      <c r="K27" s="293"/>
    </row>
    <row r="28" spans="2:11" ht="15" customHeight="1">
      <c r="B28" s="296"/>
      <c r="C28" s="31">
        <v>8</v>
      </c>
      <c r="D28" s="290"/>
      <c r="E28" s="290"/>
      <c r="F28" s="35">
        <v>8</v>
      </c>
      <c r="G28" s="290"/>
      <c r="H28" s="290"/>
      <c r="I28" s="40">
        <v>7.41</v>
      </c>
      <c r="J28" s="40">
        <v>5.82</v>
      </c>
      <c r="K28" s="293"/>
    </row>
    <row r="29" spans="2:11" ht="15" customHeight="1">
      <c r="B29" s="296"/>
      <c r="C29" s="31">
        <v>9</v>
      </c>
      <c r="D29" s="298"/>
      <c r="E29" s="298"/>
      <c r="F29" s="35">
        <v>9</v>
      </c>
      <c r="G29" s="298"/>
      <c r="H29" s="298"/>
      <c r="I29" s="40">
        <v>8.24</v>
      </c>
      <c r="J29" s="40">
        <v>6.47</v>
      </c>
      <c r="K29" s="300"/>
    </row>
    <row r="30" spans="2:11" ht="15" customHeight="1">
      <c r="B30" s="295">
        <v>55</v>
      </c>
      <c r="C30" s="31">
        <v>5</v>
      </c>
      <c r="D30" s="289">
        <v>55</v>
      </c>
      <c r="E30" s="289">
        <v>55</v>
      </c>
      <c r="F30" s="35">
        <v>5</v>
      </c>
      <c r="G30" s="289">
        <v>8</v>
      </c>
      <c r="H30" s="289">
        <v>4</v>
      </c>
      <c r="I30" s="40">
        <v>5.32</v>
      </c>
      <c r="J30" s="40">
        <v>4.18</v>
      </c>
      <c r="K30" s="292">
        <v>0.213</v>
      </c>
    </row>
    <row r="31" spans="2:11" ht="15" customHeight="1">
      <c r="B31" s="296"/>
      <c r="C31" s="31">
        <v>6</v>
      </c>
      <c r="D31" s="290"/>
      <c r="E31" s="290"/>
      <c r="F31" s="35">
        <v>6</v>
      </c>
      <c r="G31" s="290"/>
      <c r="H31" s="290"/>
      <c r="I31" s="40">
        <v>6.31</v>
      </c>
      <c r="J31" s="40">
        <v>4.95</v>
      </c>
      <c r="K31" s="293"/>
    </row>
    <row r="32" spans="2:11" ht="15" customHeight="1">
      <c r="B32" s="296"/>
      <c r="C32" s="31">
        <v>8</v>
      </c>
      <c r="D32" s="290"/>
      <c r="E32" s="290"/>
      <c r="F32" s="35">
        <v>8</v>
      </c>
      <c r="G32" s="290"/>
      <c r="H32" s="290"/>
      <c r="I32" s="40">
        <v>8.23</v>
      </c>
      <c r="J32" s="40">
        <v>6.46</v>
      </c>
      <c r="K32" s="293"/>
    </row>
    <row r="33" spans="2:11" ht="15" customHeight="1">
      <c r="B33" s="297"/>
      <c r="C33" s="31">
        <v>10</v>
      </c>
      <c r="D33" s="298"/>
      <c r="E33" s="298"/>
      <c r="F33" s="35">
        <v>10</v>
      </c>
      <c r="G33" s="298"/>
      <c r="H33" s="298"/>
      <c r="I33" s="40">
        <v>10.1</v>
      </c>
      <c r="J33" s="40">
        <v>7.9</v>
      </c>
      <c r="K33" s="300"/>
    </row>
    <row r="34" spans="2:11" ht="15" customHeight="1">
      <c r="B34" s="295">
        <v>60</v>
      </c>
      <c r="C34" s="31">
        <v>5</v>
      </c>
      <c r="D34" s="289">
        <v>60</v>
      </c>
      <c r="E34" s="289">
        <v>60</v>
      </c>
      <c r="F34" s="35">
        <v>5</v>
      </c>
      <c r="G34" s="289">
        <v>8</v>
      </c>
      <c r="H34" s="289">
        <v>4</v>
      </c>
      <c r="I34" s="40">
        <v>5.82</v>
      </c>
      <c r="J34" s="40">
        <v>4.67</v>
      </c>
      <c r="K34" s="292">
        <v>0.223</v>
      </c>
    </row>
    <row r="35" spans="2:11" ht="15" customHeight="1">
      <c r="B35" s="296"/>
      <c r="C35" s="31">
        <v>6</v>
      </c>
      <c r="D35" s="290"/>
      <c r="E35" s="290"/>
      <c r="F35" s="35">
        <v>6</v>
      </c>
      <c r="G35" s="290"/>
      <c r="H35" s="290"/>
      <c r="I35" s="40">
        <v>6.91</v>
      </c>
      <c r="J35" s="40">
        <v>5.42</v>
      </c>
      <c r="K35" s="293"/>
    </row>
    <row r="36" spans="2:11" ht="15" customHeight="1">
      <c r="B36" s="296"/>
      <c r="C36" s="31">
        <v>8</v>
      </c>
      <c r="D36" s="290"/>
      <c r="E36" s="290"/>
      <c r="F36" s="35">
        <v>8</v>
      </c>
      <c r="G36" s="290"/>
      <c r="H36" s="290"/>
      <c r="I36" s="40">
        <v>9.03</v>
      </c>
      <c r="J36" s="40">
        <v>7.09</v>
      </c>
      <c r="K36" s="293"/>
    </row>
    <row r="37" spans="2:11" ht="15" customHeight="1">
      <c r="B37" s="297"/>
      <c r="C37" s="31">
        <v>10</v>
      </c>
      <c r="D37" s="298"/>
      <c r="E37" s="298"/>
      <c r="F37" s="35">
        <v>10</v>
      </c>
      <c r="G37" s="298"/>
      <c r="H37" s="298"/>
      <c r="I37" s="40">
        <v>11.1</v>
      </c>
      <c r="J37" s="40">
        <v>8.69</v>
      </c>
      <c r="K37" s="300"/>
    </row>
    <row r="38" spans="2:11" ht="15" customHeight="1">
      <c r="B38" s="295">
        <v>65</v>
      </c>
      <c r="C38" s="31">
        <v>6</v>
      </c>
      <c r="D38" s="289">
        <v>65</v>
      </c>
      <c r="E38" s="289">
        <v>65</v>
      </c>
      <c r="F38" s="35">
        <v>6</v>
      </c>
      <c r="G38" s="289">
        <v>9</v>
      </c>
      <c r="H38" s="289">
        <v>4.5</v>
      </c>
      <c r="I38" s="40">
        <v>7.53</v>
      </c>
      <c r="J38" s="40">
        <v>5.91</v>
      </c>
      <c r="K38" s="292">
        <v>0.252</v>
      </c>
    </row>
    <row r="39" spans="2:11" ht="15" customHeight="1">
      <c r="B39" s="296"/>
      <c r="C39" s="31">
        <v>7</v>
      </c>
      <c r="D39" s="290"/>
      <c r="E39" s="290"/>
      <c r="F39" s="35">
        <v>7</v>
      </c>
      <c r="G39" s="290"/>
      <c r="H39" s="290"/>
      <c r="I39" s="40">
        <v>8.7</v>
      </c>
      <c r="J39" s="40">
        <v>6.83</v>
      </c>
      <c r="K39" s="293"/>
    </row>
    <row r="40" spans="2:11" ht="15" customHeight="1">
      <c r="B40" s="296"/>
      <c r="C40" s="31">
        <v>8</v>
      </c>
      <c r="D40" s="290"/>
      <c r="E40" s="290"/>
      <c r="F40" s="35">
        <v>8</v>
      </c>
      <c r="G40" s="290"/>
      <c r="H40" s="290"/>
      <c r="I40" s="40">
        <v>9.85</v>
      </c>
      <c r="J40" s="40">
        <v>7.73</v>
      </c>
      <c r="K40" s="293"/>
    </row>
    <row r="41" spans="2:11" ht="15" customHeight="1">
      <c r="B41" s="296"/>
      <c r="C41" s="31">
        <v>9</v>
      </c>
      <c r="D41" s="290"/>
      <c r="E41" s="290"/>
      <c r="F41" s="35">
        <v>9</v>
      </c>
      <c r="G41" s="290"/>
      <c r="H41" s="290"/>
      <c r="I41" s="40">
        <v>11</v>
      </c>
      <c r="J41" s="40">
        <v>8.62</v>
      </c>
      <c r="K41" s="293"/>
    </row>
    <row r="42" spans="2:11" ht="15" customHeight="1">
      <c r="B42" s="297"/>
      <c r="C42" s="31">
        <v>11</v>
      </c>
      <c r="D42" s="298"/>
      <c r="E42" s="298"/>
      <c r="F42" s="35">
        <v>11</v>
      </c>
      <c r="G42" s="298"/>
      <c r="H42" s="298"/>
      <c r="I42" s="40">
        <v>13.2</v>
      </c>
      <c r="J42" s="40">
        <v>10.3</v>
      </c>
      <c r="K42" s="300"/>
    </row>
    <row r="43" spans="2:11" ht="15" customHeight="1">
      <c r="B43" s="295">
        <v>70</v>
      </c>
      <c r="C43" s="31">
        <v>6</v>
      </c>
      <c r="D43" s="289">
        <v>70</v>
      </c>
      <c r="E43" s="289">
        <v>70</v>
      </c>
      <c r="F43" s="35">
        <v>6</v>
      </c>
      <c r="G43" s="289">
        <v>9</v>
      </c>
      <c r="H43" s="289">
        <v>4.5</v>
      </c>
      <c r="I43" s="40">
        <v>8.13</v>
      </c>
      <c r="J43" s="40">
        <v>6.38</v>
      </c>
      <c r="K43" s="292">
        <v>0.272</v>
      </c>
    </row>
    <row r="44" spans="2:11" ht="15" customHeight="1">
      <c r="B44" s="296"/>
      <c r="C44" s="31">
        <v>7</v>
      </c>
      <c r="D44" s="290"/>
      <c r="E44" s="290"/>
      <c r="F44" s="35">
        <v>7</v>
      </c>
      <c r="G44" s="290"/>
      <c r="H44" s="290"/>
      <c r="I44" s="40">
        <v>9.4</v>
      </c>
      <c r="J44" s="40">
        <v>7.38</v>
      </c>
      <c r="K44" s="293"/>
    </row>
    <row r="45" spans="2:11" ht="15" customHeight="1">
      <c r="B45" s="296"/>
      <c r="C45" s="31">
        <v>9</v>
      </c>
      <c r="D45" s="290"/>
      <c r="E45" s="290"/>
      <c r="F45" s="35">
        <v>9</v>
      </c>
      <c r="G45" s="290"/>
      <c r="H45" s="290"/>
      <c r="I45" s="40">
        <v>11.9</v>
      </c>
      <c r="J45" s="40">
        <v>9.34</v>
      </c>
      <c r="K45" s="293"/>
    </row>
    <row r="46" spans="2:11" ht="15" customHeight="1">
      <c r="B46" s="296"/>
      <c r="C46" s="31">
        <v>11</v>
      </c>
      <c r="D46" s="298"/>
      <c r="E46" s="298"/>
      <c r="F46" s="35">
        <v>11</v>
      </c>
      <c r="G46" s="298"/>
      <c r="H46" s="298"/>
      <c r="I46" s="40">
        <v>14.3</v>
      </c>
      <c r="J46" s="40">
        <v>11.2</v>
      </c>
      <c r="K46" s="300"/>
    </row>
    <row r="47" spans="2:11" ht="15" customHeight="1">
      <c r="B47" s="295">
        <v>75</v>
      </c>
      <c r="C47" s="31">
        <v>6</v>
      </c>
      <c r="D47" s="289">
        <v>75</v>
      </c>
      <c r="E47" s="289">
        <v>75</v>
      </c>
      <c r="F47" s="35">
        <v>6</v>
      </c>
      <c r="G47" s="289">
        <v>10</v>
      </c>
      <c r="H47" s="289">
        <v>5</v>
      </c>
      <c r="I47" s="40">
        <v>8.75</v>
      </c>
      <c r="J47" s="40">
        <v>6.87</v>
      </c>
      <c r="K47" s="292">
        <v>0.291</v>
      </c>
    </row>
    <row r="48" spans="2:11" ht="15" customHeight="1">
      <c r="B48" s="296"/>
      <c r="C48" s="31">
        <v>7</v>
      </c>
      <c r="D48" s="290"/>
      <c r="E48" s="290"/>
      <c r="F48" s="35">
        <v>7</v>
      </c>
      <c r="G48" s="290"/>
      <c r="H48" s="290"/>
      <c r="I48" s="40">
        <v>10.1</v>
      </c>
      <c r="J48" s="40">
        <v>7.94</v>
      </c>
      <c r="K48" s="293"/>
    </row>
    <row r="49" spans="2:11" ht="15" customHeight="1">
      <c r="B49" s="296"/>
      <c r="C49" s="31">
        <v>8</v>
      </c>
      <c r="D49" s="290"/>
      <c r="E49" s="290"/>
      <c r="F49" s="35">
        <v>8</v>
      </c>
      <c r="G49" s="290"/>
      <c r="H49" s="290"/>
      <c r="I49" s="40">
        <v>11.4</v>
      </c>
      <c r="J49" s="40">
        <v>9.03</v>
      </c>
      <c r="K49" s="293"/>
    </row>
    <row r="50" spans="2:11" ht="15" customHeight="1">
      <c r="B50" s="296"/>
      <c r="C50" s="31">
        <v>10</v>
      </c>
      <c r="D50" s="290"/>
      <c r="E50" s="290"/>
      <c r="F50" s="35">
        <v>10</v>
      </c>
      <c r="G50" s="290"/>
      <c r="H50" s="290"/>
      <c r="I50" s="40">
        <v>14.1</v>
      </c>
      <c r="J50" s="40">
        <v>11.1</v>
      </c>
      <c r="K50" s="293"/>
    </row>
    <row r="51" spans="2:11" ht="15" customHeight="1">
      <c r="B51" s="296"/>
      <c r="C51" s="31">
        <v>12</v>
      </c>
      <c r="D51" s="298"/>
      <c r="E51" s="298"/>
      <c r="F51" s="35">
        <v>12</v>
      </c>
      <c r="G51" s="298"/>
      <c r="H51" s="298"/>
      <c r="I51" s="40">
        <v>16.7</v>
      </c>
      <c r="J51" s="40">
        <v>13.1</v>
      </c>
      <c r="K51" s="300"/>
    </row>
    <row r="52" spans="2:11" ht="15" customHeight="1">
      <c r="B52" s="295">
        <v>80</v>
      </c>
      <c r="C52" s="31">
        <v>7</v>
      </c>
      <c r="D52" s="289">
        <v>80</v>
      </c>
      <c r="E52" s="289">
        <v>80</v>
      </c>
      <c r="F52" s="35">
        <v>7</v>
      </c>
      <c r="G52" s="289">
        <v>10</v>
      </c>
      <c r="H52" s="289">
        <v>5</v>
      </c>
      <c r="I52" s="40">
        <v>10.8</v>
      </c>
      <c r="J52" s="40">
        <v>8.49</v>
      </c>
      <c r="K52" s="292">
        <v>0.311</v>
      </c>
    </row>
    <row r="53" spans="2:11" ht="15" customHeight="1">
      <c r="B53" s="296"/>
      <c r="C53" s="31">
        <v>8</v>
      </c>
      <c r="D53" s="290"/>
      <c r="E53" s="290"/>
      <c r="F53" s="35">
        <v>8</v>
      </c>
      <c r="G53" s="290"/>
      <c r="H53" s="290"/>
      <c r="I53" s="40">
        <v>12.3</v>
      </c>
      <c r="J53" s="40">
        <v>9.66</v>
      </c>
      <c r="K53" s="293"/>
    </row>
    <row r="54" spans="2:11" ht="15" customHeight="1">
      <c r="B54" s="296"/>
      <c r="C54" s="31">
        <v>10</v>
      </c>
      <c r="D54" s="290"/>
      <c r="E54" s="290"/>
      <c r="F54" s="35">
        <v>10</v>
      </c>
      <c r="G54" s="290"/>
      <c r="H54" s="290"/>
      <c r="I54" s="40">
        <v>15.1</v>
      </c>
      <c r="J54" s="40">
        <v>11.9</v>
      </c>
      <c r="K54" s="293"/>
    </row>
    <row r="55" spans="2:11" ht="15" customHeight="1">
      <c r="B55" s="296"/>
      <c r="C55" s="31">
        <v>12</v>
      </c>
      <c r="D55" s="290"/>
      <c r="E55" s="290"/>
      <c r="F55" s="35">
        <v>12</v>
      </c>
      <c r="G55" s="290"/>
      <c r="H55" s="290"/>
      <c r="I55" s="40">
        <v>17.9</v>
      </c>
      <c r="J55" s="40">
        <v>14.1</v>
      </c>
      <c r="K55" s="293"/>
    </row>
    <row r="56" spans="2:11" ht="15" customHeight="1">
      <c r="B56" s="296"/>
      <c r="C56" s="31">
        <v>14</v>
      </c>
      <c r="D56" s="298"/>
      <c r="E56" s="298"/>
      <c r="F56" s="35">
        <v>14</v>
      </c>
      <c r="G56" s="298"/>
      <c r="H56" s="298"/>
      <c r="I56" s="40">
        <v>20.6</v>
      </c>
      <c r="J56" s="40">
        <v>16.1</v>
      </c>
      <c r="K56" s="300"/>
    </row>
    <row r="57" spans="2:11" ht="15" customHeight="1">
      <c r="B57" s="295">
        <v>90</v>
      </c>
      <c r="C57" s="31">
        <v>8</v>
      </c>
      <c r="D57" s="289">
        <v>90</v>
      </c>
      <c r="E57" s="289">
        <v>90</v>
      </c>
      <c r="F57" s="35">
        <v>8</v>
      </c>
      <c r="G57" s="289">
        <v>11</v>
      </c>
      <c r="H57" s="289">
        <v>5.5</v>
      </c>
      <c r="I57" s="40">
        <v>13.9</v>
      </c>
      <c r="J57" s="40">
        <v>10.9</v>
      </c>
      <c r="K57" s="292">
        <v>0.351</v>
      </c>
    </row>
    <row r="58" spans="2:11" ht="15" customHeight="1">
      <c r="B58" s="296"/>
      <c r="C58" s="31">
        <v>9</v>
      </c>
      <c r="D58" s="290"/>
      <c r="E58" s="290"/>
      <c r="F58" s="35">
        <v>9</v>
      </c>
      <c r="G58" s="290"/>
      <c r="H58" s="290"/>
      <c r="I58" s="40">
        <v>15.5</v>
      </c>
      <c r="J58" s="40">
        <v>12.2</v>
      </c>
      <c r="K58" s="293"/>
    </row>
    <row r="59" spans="2:11" ht="15" customHeight="1">
      <c r="B59" s="296"/>
      <c r="C59" s="31">
        <v>11</v>
      </c>
      <c r="D59" s="290"/>
      <c r="E59" s="290"/>
      <c r="F59" s="35">
        <v>11</v>
      </c>
      <c r="G59" s="290"/>
      <c r="H59" s="290"/>
      <c r="I59" s="40">
        <v>18.7</v>
      </c>
      <c r="J59" s="40">
        <v>14.7</v>
      </c>
      <c r="K59" s="293"/>
    </row>
    <row r="60" spans="2:11" ht="15" customHeight="1">
      <c r="B60" s="296"/>
      <c r="C60" s="31">
        <v>13</v>
      </c>
      <c r="D60" s="290"/>
      <c r="E60" s="290"/>
      <c r="F60" s="35">
        <v>13</v>
      </c>
      <c r="G60" s="290"/>
      <c r="H60" s="290"/>
      <c r="I60" s="40">
        <v>21.8</v>
      </c>
      <c r="J60" s="40">
        <v>17.1</v>
      </c>
      <c r="K60" s="293"/>
    </row>
    <row r="61" spans="2:11" ht="15" customHeight="1">
      <c r="B61" s="296"/>
      <c r="C61" s="31">
        <v>16</v>
      </c>
      <c r="D61" s="298"/>
      <c r="E61" s="298"/>
      <c r="F61" s="35">
        <v>16</v>
      </c>
      <c r="G61" s="298"/>
      <c r="H61" s="298"/>
      <c r="I61" s="40">
        <v>26.4</v>
      </c>
      <c r="J61" s="40">
        <v>16.1</v>
      </c>
      <c r="K61" s="300"/>
    </row>
    <row r="62" spans="2:11" ht="15" customHeight="1">
      <c r="B62" s="295">
        <v>100</v>
      </c>
      <c r="C62" s="31">
        <v>8</v>
      </c>
      <c r="D62" s="289">
        <v>100</v>
      </c>
      <c r="E62" s="289">
        <v>100</v>
      </c>
      <c r="F62" s="35">
        <v>8</v>
      </c>
      <c r="G62" s="289">
        <v>12</v>
      </c>
      <c r="H62" s="289">
        <v>6</v>
      </c>
      <c r="I62" s="40">
        <v>15.5</v>
      </c>
      <c r="J62" s="40">
        <v>12.2</v>
      </c>
      <c r="K62" s="292">
        <v>0.39</v>
      </c>
    </row>
    <row r="63" spans="2:11" ht="15" customHeight="1">
      <c r="B63" s="296"/>
      <c r="C63" s="33">
        <v>10</v>
      </c>
      <c r="D63" s="290"/>
      <c r="E63" s="290"/>
      <c r="F63" s="37">
        <v>10</v>
      </c>
      <c r="G63" s="290"/>
      <c r="H63" s="290"/>
      <c r="I63" s="41">
        <v>19.2</v>
      </c>
      <c r="J63" s="41">
        <v>15.1</v>
      </c>
      <c r="K63" s="293"/>
    </row>
    <row r="64" spans="2:11" ht="15" customHeight="1">
      <c r="B64" s="296"/>
      <c r="C64" s="33">
        <v>12</v>
      </c>
      <c r="D64" s="290"/>
      <c r="E64" s="290"/>
      <c r="F64" s="37">
        <v>12</v>
      </c>
      <c r="G64" s="290"/>
      <c r="H64" s="290"/>
      <c r="I64" s="41">
        <v>27.7</v>
      </c>
      <c r="J64" s="41">
        <v>17.8</v>
      </c>
      <c r="K64" s="293"/>
    </row>
    <row r="65" spans="2:11" ht="15" customHeight="1">
      <c r="B65" s="296"/>
      <c r="C65" s="33">
        <v>14</v>
      </c>
      <c r="D65" s="290"/>
      <c r="E65" s="290"/>
      <c r="F65" s="37">
        <v>14</v>
      </c>
      <c r="G65" s="290"/>
      <c r="H65" s="290"/>
      <c r="I65" s="41">
        <v>26.2</v>
      </c>
      <c r="J65" s="41">
        <v>20.6</v>
      </c>
      <c r="K65" s="293"/>
    </row>
    <row r="66" spans="2:11" ht="15" customHeight="1">
      <c r="B66" s="296"/>
      <c r="C66" s="33">
        <v>16</v>
      </c>
      <c r="D66" s="290"/>
      <c r="E66" s="290"/>
      <c r="F66" s="37">
        <v>16</v>
      </c>
      <c r="G66" s="290"/>
      <c r="H66" s="290"/>
      <c r="I66" s="41">
        <v>29.6</v>
      </c>
      <c r="J66" s="41">
        <v>23.2</v>
      </c>
      <c r="K66" s="293"/>
    </row>
    <row r="67" spans="2:11" ht="15" customHeight="1">
      <c r="B67" s="296"/>
      <c r="C67" s="33">
        <v>20</v>
      </c>
      <c r="D67" s="298"/>
      <c r="E67" s="298"/>
      <c r="F67" s="37">
        <v>20</v>
      </c>
      <c r="G67" s="298"/>
      <c r="H67" s="298"/>
      <c r="I67" s="41">
        <v>36.2</v>
      </c>
      <c r="J67" s="41">
        <v>28.4</v>
      </c>
      <c r="K67" s="300"/>
    </row>
    <row r="68" spans="2:11" ht="15" customHeight="1">
      <c r="B68" s="295">
        <v>110</v>
      </c>
      <c r="C68" s="33">
        <v>10</v>
      </c>
      <c r="D68" s="289">
        <v>110</v>
      </c>
      <c r="E68" s="289">
        <v>110</v>
      </c>
      <c r="F68" s="37">
        <v>10</v>
      </c>
      <c r="G68" s="289">
        <v>12</v>
      </c>
      <c r="H68" s="289">
        <v>6</v>
      </c>
      <c r="I68" s="41">
        <v>21.2</v>
      </c>
      <c r="J68" s="41">
        <v>16.6</v>
      </c>
      <c r="K68" s="292">
        <v>0.43</v>
      </c>
    </row>
    <row r="69" spans="2:11" ht="15" customHeight="1">
      <c r="B69" s="296"/>
      <c r="C69" s="33">
        <v>12</v>
      </c>
      <c r="D69" s="290"/>
      <c r="E69" s="290"/>
      <c r="F69" s="37">
        <v>12</v>
      </c>
      <c r="G69" s="290"/>
      <c r="H69" s="290"/>
      <c r="I69" s="41">
        <v>25.1</v>
      </c>
      <c r="J69" s="41">
        <v>19.7</v>
      </c>
      <c r="K69" s="293"/>
    </row>
    <row r="70" spans="2:11" ht="15" customHeight="1">
      <c r="B70" s="296"/>
      <c r="C70" s="33">
        <v>14</v>
      </c>
      <c r="D70" s="298"/>
      <c r="E70" s="298"/>
      <c r="F70" s="37">
        <v>14</v>
      </c>
      <c r="G70" s="298"/>
      <c r="H70" s="298"/>
      <c r="I70" s="41">
        <v>29</v>
      </c>
      <c r="J70" s="41">
        <v>22.8</v>
      </c>
      <c r="K70" s="300"/>
    </row>
    <row r="71" spans="2:11" ht="15" customHeight="1">
      <c r="B71" s="295">
        <v>120</v>
      </c>
      <c r="C71" s="33">
        <v>11</v>
      </c>
      <c r="D71" s="289">
        <v>120</v>
      </c>
      <c r="E71" s="289">
        <v>120</v>
      </c>
      <c r="F71" s="37">
        <v>11</v>
      </c>
      <c r="G71" s="289">
        <v>13</v>
      </c>
      <c r="H71" s="289">
        <v>6.5</v>
      </c>
      <c r="I71" s="41">
        <v>25.4</v>
      </c>
      <c r="J71" s="41">
        <v>19.9</v>
      </c>
      <c r="K71" s="292">
        <v>0.469</v>
      </c>
    </row>
    <row r="72" spans="2:11" ht="15" customHeight="1">
      <c r="B72" s="296"/>
      <c r="C72" s="33">
        <v>12</v>
      </c>
      <c r="D72" s="290"/>
      <c r="E72" s="290"/>
      <c r="F72" s="37">
        <v>12</v>
      </c>
      <c r="G72" s="290"/>
      <c r="H72" s="290"/>
      <c r="I72" s="41">
        <v>27.5</v>
      </c>
      <c r="J72" s="41">
        <v>21.6</v>
      </c>
      <c r="K72" s="293"/>
    </row>
    <row r="73" spans="2:11" ht="15" customHeight="1">
      <c r="B73" s="296"/>
      <c r="C73" s="33">
        <v>13</v>
      </c>
      <c r="D73" s="290"/>
      <c r="E73" s="290"/>
      <c r="F73" s="37">
        <v>13</v>
      </c>
      <c r="G73" s="290"/>
      <c r="H73" s="290"/>
      <c r="I73" s="41">
        <v>29.7</v>
      </c>
      <c r="J73" s="41">
        <v>23.3</v>
      </c>
      <c r="K73" s="293"/>
    </row>
    <row r="74" spans="2:11" ht="15" customHeight="1">
      <c r="B74" s="296"/>
      <c r="C74" s="33">
        <v>15</v>
      </c>
      <c r="D74" s="298"/>
      <c r="E74" s="298"/>
      <c r="F74" s="37">
        <v>15</v>
      </c>
      <c r="G74" s="298"/>
      <c r="H74" s="298"/>
      <c r="I74" s="41">
        <v>33.9</v>
      </c>
      <c r="J74" s="41">
        <v>26.6</v>
      </c>
      <c r="K74" s="300"/>
    </row>
    <row r="75" spans="2:11" ht="15" customHeight="1">
      <c r="B75" s="295">
        <v>130</v>
      </c>
      <c r="C75" s="33">
        <v>12</v>
      </c>
      <c r="D75" s="289">
        <v>130</v>
      </c>
      <c r="E75" s="289">
        <v>130</v>
      </c>
      <c r="F75" s="37">
        <v>12</v>
      </c>
      <c r="G75" s="289">
        <v>14</v>
      </c>
      <c r="H75" s="289">
        <v>7</v>
      </c>
      <c r="I75" s="41">
        <v>30</v>
      </c>
      <c r="J75" s="41">
        <v>23.6</v>
      </c>
      <c r="K75" s="292">
        <v>0.508</v>
      </c>
    </row>
    <row r="76" spans="2:11" ht="15" customHeight="1">
      <c r="B76" s="296"/>
      <c r="C76" s="33">
        <v>14</v>
      </c>
      <c r="D76" s="290"/>
      <c r="E76" s="290"/>
      <c r="F76" s="37">
        <v>14</v>
      </c>
      <c r="G76" s="290"/>
      <c r="H76" s="290"/>
      <c r="I76" s="41">
        <v>34.7</v>
      </c>
      <c r="J76" s="41">
        <v>27.2</v>
      </c>
      <c r="K76" s="293"/>
    </row>
    <row r="77" spans="2:11" ht="15" customHeight="1">
      <c r="B77" s="296"/>
      <c r="C77" s="33">
        <v>16</v>
      </c>
      <c r="D77" s="298"/>
      <c r="E77" s="298"/>
      <c r="F77" s="37">
        <v>16</v>
      </c>
      <c r="G77" s="298"/>
      <c r="H77" s="298"/>
      <c r="I77" s="41">
        <v>39.3</v>
      </c>
      <c r="J77" s="41">
        <v>30.9</v>
      </c>
      <c r="K77" s="300"/>
    </row>
    <row r="78" spans="2:11" ht="15" customHeight="1">
      <c r="B78" s="295">
        <v>140</v>
      </c>
      <c r="C78" s="33">
        <v>13</v>
      </c>
      <c r="D78" s="289">
        <v>140</v>
      </c>
      <c r="E78" s="289">
        <v>140</v>
      </c>
      <c r="F78" s="37">
        <v>13</v>
      </c>
      <c r="G78" s="289">
        <v>15</v>
      </c>
      <c r="H78" s="289">
        <v>7.5</v>
      </c>
      <c r="I78" s="41">
        <v>35</v>
      </c>
      <c r="J78" s="41">
        <v>27.5</v>
      </c>
      <c r="K78" s="292">
        <v>0.547</v>
      </c>
    </row>
    <row r="79" spans="2:11" ht="15" customHeight="1">
      <c r="B79" s="296"/>
      <c r="C79" s="33">
        <v>15</v>
      </c>
      <c r="D79" s="298"/>
      <c r="E79" s="298"/>
      <c r="F79" s="37">
        <v>15</v>
      </c>
      <c r="G79" s="298"/>
      <c r="H79" s="298"/>
      <c r="I79" s="41">
        <v>40</v>
      </c>
      <c r="J79" s="41">
        <v>31.4</v>
      </c>
      <c r="K79" s="300"/>
    </row>
    <row r="80" spans="2:11" ht="15" customHeight="1">
      <c r="B80" s="295">
        <v>150</v>
      </c>
      <c r="C80" s="33">
        <v>12</v>
      </c>
      <c r="D80" s="289">
        <v>150</v>
      </c>
      <c r="E80" s="289">
        <v>150</v>
      </c>
      <c r="F80" s="37">
        <v>12</v>
      </c>
      <c r="G80" s="289">
        <v>16</v>
      </c>
      <c r="H80" s="289">
        <v>8</v>
      </c>
      <c r="I80" s="41">
        <v>34.8</v>
      </c>
      <c r="J80" s="41">
        <v>27.3</v>
      </c>
      <c r="K80" s="292">
        <v>0.586</v>
      </c>
    </row>
    <row r="81" spans="2:11" ht="15" customHeight="1">
      <c r="B81" s="296"/>
      <c r="C81" s="33">
        <v>14</v>
      </c>
      <c r="D81" s="290"/>
      <c r="E81" s="290"/>
      <c r="F81" s="37">
        <v>14</v>
      </c>
      <c r="G81" s="290"/>
      <c r="H81" s="290"/>
      <c r="I81" s="41">
        <v>40.3</v>
      </c>
      <c r="J81" s="41">
        <v>31.6</v>
      </c>
      <c r="K81" s="293"/>
    </row>
    <row r="82" spans="2:11" ht="15" customHeight="1">
      <c r="B82" s="296"/>
      <c r="C82" s="33">
        <v>15</v>
      </c>
      <c r="D82" s="290"/>
      <c r="E82" s="290"/>
      <c r="F82" s="37">
        <v>15</v>
      </c>
      <c r="G82" s="290"/>
      <c r="H82" s="290"/>
      <c r="I82" s="41">
        <v>43</v>
      </c>
      <c r="J82" s="41">
        <v>33.8</v>
      </c>
      <c r="K82" s="293"/>
    </row>
    <row r="83" spans="2:11" ht="15" customHeight="1">
      <c r="B83" s="296"/>
      <c r="C83" s="33">
        <v>16</v>
      </c>
      <c r="D83" s="290"/>
      <c r="E83" s="290"/>
      <c r="F83" s="37">
        <v>16</v>
      </c>
      <c r="G83" s="290"/>
      <c r="H83" s="290"/>
      <c r="I83" s="41">
        <v>45.7</v>
      </c>
      <c r="J83" s="41">
        <v>35.9</v>
      </c>
      <c r="K83" s="293"/>
    </row>
    <row r="84" spans="2:11" ht="15" customHeight="1">
      <c r="B84" s="296"/>
      <c r="C84" s="33">
        <v>18</v>
      </c>
      <c r="D84" s="290"/>
      <c r="E84" s="290"/>
      <c r="F84" s="37">
        <v>18</v>
      </c>
      <c r="G84" s="290"/>
      <c r="H84" s="290"/>
      <c r="I84" s="41">
        <v>51</v>
      </c>
      <c r="J84" s="41">
        <v>40.1</v>
      </c>
      <c r="K84" s="293"/>
    </row>
    <row r="85" spans="2:11" ht="15" customHeight="1">
      <c r="B85" s="296"/>
      <c r="C85" s="33">
        <v>20</v>
      </c>
      <c r="D85" s="298"/>
      <c r="E85" s="298"/>
      <c r="F85" s="37">
        <v>20</v>
      </c>
      <c r="G85" s="298"/>
      <c r="H85" s="298"/>
      <c r="I85" s="41">
        <v>56.3</v>
      </c>
      <c r="J85" s="41">
        <v>44.2</v>
      </c>
      <c r="K85" s="300"/>
    </row>
    <row r="86" spans="2:11" ht="15" customHeight="1">
      <c r="B86" s="295">
        <v>160</v>
      </c>
      <c r="C86" s="33">
        <v>15</v>
      </c>
      <c r="D86" s="289">
        <v>160</v>
      </c>
      <c r="E86" s="289">
        <v>160</v>
      </c>
      <c r="F86" s="37">
        <v>15</v>
      </c>
      <c r="G86" s="289">
        <v>17</v>
      </c>
      <c r="H86" s="289">
        <v>8.5</v>
      </c>
      <c r="I86" s="41">
        <v>46.1</v>
      </c>
      <c r="J86" s="41">
        <v>36.2</v>
      </c>
      <c r="K86" s="292">
        <v>0.625</v>
      </c>
    </row>
    <row r="87" spans="2:11" ht="15" customHeight="1">
      <c r="B87" s="296"/>
      <c r="C87" s="33">
        <v>17</v>
      </c>
      <c r="D87" s="290"/>
      <c r="E87" s="290"/>
      <c r="F87" s="37">
        <v>17</v>
      </c>
      <c r="G87" s="290"/>
      <c r="H87" s="290"/>
      <c r="I87" s="41">
        <v>51.8</v>
      </c>
      <c r="J87" s="41">
        <v>40.7</v>
      </c>
      <c r="K87" s="293"/>
    </row>
    <row r="88" spans="2:11" ht="15" customHeight="1">
      <c r="B88" s="296"/>
      <c r="C88" s="33">
        <v>19</v>
      </c>
      <c r="D88" s="298"/>
      <c r="E88" s="298"/>
      <c r="F88" s="37">
        <v>19</v>
      </c>
      <c r="G88" s="298"/>
      <c r="H88" s="298"/>
      <c r="I88" s="41">
        <v>57.5</v>
      </c>
      <c r="J88" s="41">
        <v>45.1</v>
      </c>
      <c r="K88" s="300"/>
    </row>
    <row r="89" spans="2:11" ht="15" customHeight="1">
      <c r="B89" s="295">
        <v>170</v>
      </c>
      <c r="C89" s="33">
        <v>16</v>
      </c>
      <c r="D89" s="289">
        <v>170</v>
      </c>
      <c r="E89" s="289">
        <v>170</v>
      </c>
      <c r="F89" s="37">
        <v>16</v>
      </c>
      <c r="G89" s="289">
        <v>18</v>
      </c>
      <c r="H89" s="289">
        <v>9</v>
      </c>
      <c r="I89" s="41">
        <v>55.4</v>
      </c>
      <c r="J89" s="41">
        <v>43.5</v>
      </c>
      <c r="K89" s="292">
        <v>0.705</v>
      </c>
    </row>
    <row r="90" spans="2:11" ht="15" customHeight="1">
      <c r="B90" s="296"/>
      <c r="C90" s="33">
        <v>18</v>
      </c>
      <c r="D90" s="290"/>
      <c r="E90" s="290"/>
      <c r="F90" s="37">
        <v>18</v>
      </c>
      <c r="G90" s="290"/>
      <c r="H90" s="290"/>
      <c r="I90" s="41">
        <v>61.9</v>
      </c>
      <c r="J90" s="41">
        <v>48.6</v>
      </c>
      <c r="K90" s="293"/>
    </row>
    <row r="91" spans="2:11" ht="15" customHeight="1">
      <c r="B91" s="296"/>
      <c r="C91" s="33">
        <v>20</v>
      </c>
      <c r="D91" s="290"/>
      <c r="E91" s="290"/>
      <c r="F91" s="37">
        <v>20</v>
      </c>
      <c r="G91" s="290"/>
      <c r="H91" s="290"/>
      <c r="I91" s="41">
        <v>68.4</v>
      </c>
      <c r="J91" s="41">
        <v>53.7</v>
      </c>
      <c r="K91" s="293"/>
    </row>
    <row r="92" spans="2:11" ht="15" customHeight="1">
      <c r="B92" s="296"/>
      <c r="C92" s="33">
        <v>22</v>
      </c>
      <c r="D92" s="298"/>
      <c r="E92" s="298"/>
      <c r="F92" s="37">
        <v>22</v>
      </c>
      <c r="G92" s="298"/>
      <c r="H92" s="298"/>
      <c r="I92" s="41">
        <v>74.7</v>
      </c>
      <c r="J92" s="41">
        <v>58.6</v>
      </c>
      <c r="K92" s="300"/>
    </row>
    <row r="93" spans="2:11" ht="15" customHeight="1">
      <c r="B93" s="295">
        <v>180</v>
      </c>
      <c r="C93" s="33">
        <v>16</v>
      </c>
      <c r="D93" s="289">
        <v>180</v>
      </c>
      <c r="E93" s="289">
        <v>180</v>
      </c>
      <c r="F93" s="37">
        <v>16</v>
      </c>
      <c r="G93" s="289">
        <v>18</v>
      </c>
      <c r="H93" s="289">
        <v>9</v>
      </c>
      <c r="I93" s="41">
        <v>61.8</v>
      </c>
      <c r="J93" s="41">
        <v>48.5</v>
      </c>
      <c r="K93" s="292">
        <v>0.785</v>
      </c>
    </row>
    <row r="94" spans="2:11" ht="15" customHeight="1">
      <c r="B94" s="296"/>
      <c r="C94" s="33">
        <v>16</v>
      </c>
      <c r="D94" s="290"/>
      <c r="E94" s="290"/>
      <c r="F94" s="37">
        <v>16</v>
      </c>
      <c r="G94" s="290"/>
      <c r="H94" s="290"/>
      <c r="I94" s="41">
        <v>69.1</v>
      </c>
      <c r="J94" s="41">
        <v>54.3</v>
      </c>
      <c r="K94" s="293"/>
    </row>
    <row r="95" spans="2:11" ht="15" customHeight="1">
      <c r="B95" s="296"/>
      <c r="C95" s="33">
        <v>20</v>
      </c>
      <c r="D95" s="290"/>
      <c r="E95" s="290"/>
      <c r="F95" s="37">
        <v>20</v>
      </c>
      <c r="G95" s="290"/>
      <c r="H95" s="290"/>
      <c r="I95" s="41">
        <v>76.4</v>
      </c>
      <c r="J95" s="41">
        <v>59.9</v>
      </c>
      <c r="K95" s="293"/>
    </row>
    <row r="96" spans="2:11" ht="15" customHeight="1">
      <c r="B96" s="296"/>
      <c r="C96" s="33">
        <v>24</v>
      </c>
      <c r="D96" s="290"/>
      <c r="E96" s="290"/>
      <c r="F96" s="37">
        <v>24</v>
      </c>
      <c r="G96" s="290"/>
      <c r="H96" s="290"/>
      <c r="I96" s="41">
        <v>90.6</v>
      </c>
      <c r="J96" s="41">
        <v>71.1</v>
      </c>
      <c r="K96" s="293"/>
    </row>
    <row r="97" spans="2:11" ht="15" customHeight="1">
      <c r="B97" s="296"/>
      <c r="C97" s="33">
        <v>28</v>
      </c>
      <c r="D97" s="298"/>
      <c r="E97" s="298"/>
      <c r="F97" s="37">
        <v>28</v>
      </c>
      <c r="G97" s="298"/>
      <c r="H97" s="298"/>
      <c r="I97" s="41">
        <v>105</v>
      </c>
      <c r="J97" s="41">
        <v>82</v>
      </c>
      <c r="K97" s="300"/>
    </row>
    <row r="98" spans="2:11" ht="15" customHeight="1">
      <c r="B98" s="295" t="s">
        <v>43</v>
      </c>
      <c r="C98" s="65">
        <v>4</v>
      </c>
      <c r="D98" s="289">
        <v>50</v>
      </c>
      <c r="E98" s="289">
        <v>40</v>
      </c>
      <c r="F98" s="38">
        <v>4</v>
      </c>
      <c r="G98" s="289">
        <v>4</v>
      </c>
      <c r="H98" s="289">
        <v>2</v>
      </c>
      <c r="I98" s="41">
        <v>3.46</v>
      </c>
      <c r="J98" s="41">
        <v>2.71</v>
      </c>
      <c r="K98" s="292">
        <v>0.177</v>
      </c>
    </row>
    <row r="99" spans="2:11" ht="15" customHeight="1">
      <c r="B99" s="297"/>
      <c r="C99" s="65">
        <v>5</v>
      </c>
      <c r="D99" s="298"/>
      <c r="E99" s="298"/>
      <c r="F99" s="38">
        <v>5</v>
      </c>
      <c r="G99" s="298"/>
      <c r="H99" s="298"/>
      <c r="I99" s="41">
        <v>4.27</v>
      </c>
      <c r="J99" s="41">
        <v>3.35</v>
      </c>
      <c r="K99" s="300"/>
    </row>
    <row r="100" spans="2:11" ht="15" customHeight="1">
      <c r="B100" s="295" t="s">
        <v>44</v>
      </c>
      <c r="C100" s="65">
        <v>5</v>
      </c>
      <c r="D100" s="289">
        <v>65</v>
      </c>
      <c r="E100" s="289">
        <v>50</v>
      </c>
      <c r="F100" s="38">
        <v>5</v>
      </c>
      <c r="G100" s="289">
        <v>6.5</v>
      </c>
      <c r="H100" s="289">
        <v>3.5</v>
      </c>
      <c r="I100" s="41">
        <v>5.54</v>
      </c>
      <c r="J100" s="41">
        <v>4.35</v>
      </c>
      <c r="K100" s="292">
        <v>0.224</v>
      </c>
    </row>
    <row r="101" spans="2:11" ht="15" customHeight="1">
      <c r="B101" s="296"/>
      <c r="C101" s="65">
        <v>7</v>
      </c>
      <c r="D101" s="290"/>
      <c r="E101" s="290"/>
      <c r="F101" s="38">
        <v>7</v>
      </c>
      <c r="G101" s="290"/>
      <c r="H101" s="290"/>
      <c r="I101" s="41">
        <v>7.6</v>
      </c>
      <c r="J101" s="41">
        <v>5.97</v>
      </c>
      <c r="K101" s="293"/>
    </row>
    <row r="102" spans="2:11" ht="15" customHeight="1">
      <c r="B102" s="297"/>
      <c r="C102" s="65">
        <v>9</v>
      </c>
      <c r="D102" s="298"/>
      <c r="E102" s="298"/>
      <c r="F102" s="38">
        <v>9</v>
      </c>
      <c r="G102" s="298"/>
      <c r="H102" s="298"/>
      <c r="I102" s="41">
        <v>9.58</v>
      </c>
      <c r="J102" s="41">
        <v>7.52</v>
      </c>
      <c r="K102" s="300"/>
    </row>
    <row r="103" spans="2:11" ht="15" customHeight="1">
      <c r="B103" s="295" t="s">
        <v>45</v>
      </c>
      <c r="C103" s="65">
        <v>6</v>
      </c>
      <c r="D103" s="289">
        <v>80</v>
      </c>
      <c r="E103" s="289">
        <v>65</v>
      </c>
      <c r="F103" s="38">
        <v>5</v>
      </c>
      <c r="G103" s="289">
        <v>8</v>
      </c>
      <c r="H103" s="289">
        <v>4</v>
      </c>
      <c r="I103" s="41">
        <v>8.41</v>
      </c>
      <c r="J103" s="41">
        <v>6.6</v>
      </c>
      <c r="K103" s="292">
        <v>0.283</v>
      </c>
    </row>
    <row r="104" spans="2:11" ht="15" customHeight="1">
      <c r="B104" s="296"/>
      <c r="C104" s="65">
        <v>8</v>
      </c>
      <c r="D104" s="290"/>
      <c r="E104" s="290"/>
      <c r="F104" s="38">
        <v>6</v>
      </c>
      <c r="G104" s="290"/>
      <c r="H104" s="290"/>
      <c r="I104" s="41">
        <v>11</v>
      </c>
      <c r="J104" s="41">
        <v>8.66</v>
      </c>
      <c r="K104" s="293"/>
    </row>
    <row r="105" spans="2:11" ht="15" customHeight="1">
      <c r="B105" s="297"/>
      <c r="C105" s="65">
        <v>10</v>
      </c>
      <c r="D105" s="298"/>
      <c r="E105" s="298"/>
      <c r="F105" s="38">
        <v>10</v>
      </c>
      <c r="G105" s="298"/>
      <c r="H105" s="298"/>
      <c r="I105" s="41">
        <v>13.6</v>
      </c>
      <c r="J105" s="41">
        <v>10.7</v>
      </c>
      <c r="K105" s="300"/>
    </row>
    <row r="106" spans="2:11" ht="15" customHeight="1">
      <c r="B106" s="295" t="s">
        <v>46</v>
      </c>
      <c r="C106" s="65">
        <v>7</v>
      </c>
      <c r="D106" s="289">
        <v>100</v>
      </c>
      <c r="E106" s="289">
        <v>75</v>
      </c>
      <c r="F106" s="38">
        <v>7</v>
      </c>
      <c r="G106" s="289">
        <v>10</v>
      </c>
      <c r="H106" s="289">
        <v>5</v>
      </c>
      <c r="I106" s="41">
        <v>11.9</v>
      </c>
      <c r="J106" s="41">
        <v>9.32</v>
      </c>
      <c r="K106" s="292">
        <v>0.341</v>
      </c>
    </row>
    <row r="107" spans="2:11" ht="15" customHeight="1">
      <c r="B107" s="296"/>
      <c r="C107" s="65">
        <v>9</v>
      </c>
      <c r="D107" s="290"/>
      <c r="E107" s="290"/>
      <c r="F107" s="38">
        <v>9</v>
      </c>
      <c r="G107" s="290"/>
      <c r="H107" s="290"/>
      <c r="I107" s="41">
        <v>15.1</v>
      </c>
      <c r="J107" s="41">
        <v>11.8</v>
      </c>
      <c r="K107" s="293"/>
    </row>
    <row r="108" spans="2:11" ht="15" customHeight="1">
      <c r="B108" s="297"/>
      <c r="C108" s="65">
        <v>11</v>
      </c>
      <c r="D108" s="298"/>
      <c r="E108" s="298"/>
      <c r="F108" s="38">
        <v>11</v>
      </c>
      <c r="G108" s="298"/>
      <c r="H108" s="298"/>
      <c r="I108" s="41">
        <v>18.2</v>
      </c>
      <c r="J108" s="41">
        <v>14.3</v>
      </c>
      <c r="K108" s="300"/>
    </row>
    <row r="109" spans="2:11" ht="15" customHeight="1">
      <c r="B109" s="295" t="s">
        <v>47</v>
      </c>
      <c r="C109" s="65">
        <v>10</v>
      </c>
      <c r="D109" s="289">
        <v>150</v>
      </c>
      <c r="E109" s="289">
        <v>100</v>
      </c>
      <c r="F109" s="38">
        <v>10</v>
      </c>
      <c r="G109" s="289">
        <v>13</v>
      </c>
      <c r="H109" s="289">
        <v>6.5</v>
      </c>
      <c r="I109" s="41">
        <v>24.2</v>
      </c>
      <c r="J109" s="41">
        <v>19</v>
      </c>
      <c r="K109" s="292">
        <v>0.489</v>
      </c>
    </row>
    <row r="110" spans="2:11" ht="15" customHeight="1">
      <c r="B110" s="296"/>
      <c r="C110" s="65">
        <v>12</v>
      </c>
      <c r="D110" s="290"/>
      <c r="E110" s="290"/>
      <c r="F110" s="38">
        <v>12</v>
      </c>
      <c r="G110" s="290"/>
      <c r="H110" s="290"/>
      <c r="I110" s="41">
        <v>28.7</v>
      </c>
      <c r="J110" s="41">
        <v>22.6</v>
      </c>
      <c r="K110" s="293"/>
    </row>
    <row r="111" spans="2:11" ht="15" customHeight="1" thickBot="1">
      <c r="B111" s="299"/>
      <c r="C111" s="66">
        <v>14</v>
      </c>
      <c r="D111" s="291"/>
      <c r="E111" s="291"/>
      <c r="F111" s="39">
        <v>14</v>
      </c>
      <c r="G111" s="291"/>
      <c r="H111" s="291"/>
      <c r="I111" s="42">
        <v>33.2</v>
      </c>
      <c r="J111" s="42">
        <v>26.1</v>
      </c>
      <c r="K111" s="294"/>
    </row>
    <row r="112" spans="2:11" ht="15" customHeight="1" thickTop="1">
      <c r="B112" s="1"/>
      <c r="C112" s="1"/>
      <c r="D112" s="1"/>
      <c r="E112" s="1"/>
      <c r="F112" s="1"/>
      <c r="G112" s="1"/>
      <c r="H112" s="1"/>
      <c r="I112" s="1"/>
      <c r="J112" s="1"/>
      <c r="K112" s="1"/>
    </row>
    <row r="113" spans="2:11" ht="15" customHeight="1">
      <c r="B113" s="1"/>
      <c r="C113" s="1"/>
      <c r="D113" s="1"/>
      <c r="E113" s="1"/>
      <c r="F113" s="1"/>
      <c r="G113" s="1"/>
      <c r="H113" s="1"/>
      <c r="I113" s="1"/>
      <c r="J113" s="1"/>
      <c r="K113" s="1"/>
    </row>
    <row r="114" spans="2:11" ht="15" customHeight="1">
      <c r="B114" s="1"/>
      <c r="C114" s="1"/>
      <c r="D114" s="1"/>
      <c r="E114" s="1"/>
      <c r="F114" s="1"/>
      <c r="G114" s="1"/>
      <c r="H114" s="1"/>
      <c r="I114" s="1"/>
      <c r="J114" s="1"/>
      <c r="K114" s="1"/>
    </row>
    <row r="115" spans="2:11" ht="15" customHeight="1">
      <c r="B115" s="1"/>
      <c r="C115" s="1"/>
      <c r="D115" s="1"/>
      <c r="E115" s="1"/>
      <c r="F115" s="1"/>
      <c r="G115" s="1"/>
      <c r="H115" s="1"/>
      <c r="I115" s="1"/>
      <c r="J115" s="1"/>
      <c r="K115" s="1"/>
    </row>
    <row r="116" spans="2:11" ht="15" customHeight="1">
      <c r="B116" s="1"/>
      <c r="C116" s="1"/>
      <c r="D116" s="1"/>
      <c r="E116" s="1"/>
      <c r="F116" s="1"/>
      <c r="G116" s="1"/>
      <c r="H116" s="1"/>
      <c r="I116" s="1"/>
      <c r="J116" s="1"/>
      <c r="K116" s="1"/>
    </row>
    <row r="117" spans="2:11" ht="15" customHeight="1">
      <c r="B117" s="1"/>
      <c r="C117" s="1"/>
      <c r="D117" s="1"/>
      <c r="E117" s="1"/>
      <c r="F117" s="1"/>
      <c r="G117" s="1"/>
      <c r="H117" s="1"/>
      <c r="I117" s="1"/>
      <c r="J117" s="1"/>
      <c r="K117" s="1"/>
    </row>
    <row r="118" spans="2:11" ht="15" customHeight="1">
      <c r="B118" s="1"/>
      <c r="C118" s="1"/>
      <c r="D118" s="1"/>
      <c r="E118" s="1"/>
      <c r="F118" s="1"/>
      <c r="G118" s="1"/>
      <c r="H118" s="1"/>
      <c r="I118" s="1"/>
      <c r="J118" s="1"/>
      <c r="K118" s="1"/>
    </row>
    <row r="119" spans="2:11" ht="15" customHeight="1">
      <c r="B119" s="1"/>
      <c r="C119" s="1"/>
      <c r="D119" s="1"/>
      <c r="E119" s="1"/>
      <c r="F119" s="1"/>
      <c r="G119" s="1"/>
      <c r="H119" s="1"/>
      <c r="I119" s="1"/>
      <c r="J119" s="1"/>
      <c r="K119" s="1"/>
    </row>
    <row r="120" ht="15" customHeight="1"/>
    <row r="121" ht="15" customHeight="1"/>
    <row r="122" ht="15" customHeight="1"/>
    <row r="123" ht="15" customHeight="1"/>
    <row r="124" ht="15" customHeight="1"/>
    <row r="125" ht="15" customHeight="1"/>
    <row r="126" ht="15" customHeight="1"/>
  </sheetData>
  <sheetProtection/>
  <mergeCells count="170">
    <mergeCell ref="K34:K37"/>
    <mergeCell ref="B4:B5"/>
    <mergeCell ref="B6:B8"/>
    <mergeCell ref="B9:B11"/>
    <mergeCell ref="B12:B15"/>
    <mergeCell ref="B16:B19"/>
    <mergeCell ref="B20:B23"/>
    <mergeCell ref="B1:K1"/>
    <mergeCell ref="B2:C3"/>
    <mergeCell ref="D20:D23"/>
    <mergeCell ref="D24:D29"/>
    <mergeCell ref="D38:D42"/>
    <mergeCell ref="D43:D46"/>
    <mergeCell ref="B24:B29"/>
    <mergeCell ref="B30:B33"/>
    <mergeCell ref="B34:B37"/>
    <mergeCell ref="B38:B42"/>
    <mergeCell ref="D30:D33"/>
    <mergeCell ref="D34:D37"/>
    <mergeCell ref="B47:B51"/>
    <mergeCell ref="B52:B56"/>
    <mergeCell ref="B57:B61"/>
    <mergeCell ref="B62:B67"/>
    <mergeCell ref="B43:B46"/>
    <mergeCell ref="D4:D5"/>
    <mergeCell ref="D6:D8"/>
    <mergeCell ref="D9:D11"/>
    <mergeCell ref="D12:D15"/>
    <mergeCell ref="D16:D19"/>
    <mergeCell ref="B80:B85"/>
    <mergeCell ref="B86:B88"/>
    <mergeCell ref="B89:B92"/>
    <mergeCell ref="B93:B97"/>
    <mergeCell ref="B68:B70"/>
    <mergeCell ref="B71:B74"/>
    <mergeCell ref="B75:B77"/>
    <mergeCell ref="B78:B79"/>
    <mergeCell ref="D89:D92"/>
    <mergeCell ref="D93:D97"/>
    <mergeCell ref="D68:D70"/>
    <mergeCell ref="D71:D74"/>
    <mergeCell ref="D75:D77"/>
    <mergeCell ref="D78:D79"/>
    <mergeCell ref="E4:E5"/>
    <mergeCell ref="E6:E8"/>
    <mergeCell ref="E9:E11"/>
    <mergeCell ref="E12:E15"/>
    <mergeCell ref="D80:D85"/>
    <mergeCell ref="D86:D88"/>
    <mergeCell ref="D47:D51"/>
    <mergeCell ref="D52:D56"/>
    <mergeCell ref="D57:D61"/>
    <mergeCell ref="D62:D67"/>
    <mergeCell ref="E38:E42"/>
    <mergeCell ref="E43:E46"/>
    <mergeCell ref="E47:E51"/>
    <mergeCell ref="E52:E56"/>
    <mergeCell ref="E16:E19"/>
    <mergeCell ref="E20:E23"/>
    <mergeCell ref="E24:E29"/>
    <mergeCell ref="E30:E33"/>
    <mergeCell ref="E34:E37"/>
    <mergeCell ref="E75:E77"/>
    <mergeCell ref="E78:E79"/>
    <mergeCell ref="E80:E85"/>
    <mergeCell ref="E86:E88"/>
    <mergeCell ref="E57:E61"/>
    <mergeCell ref="E62:E67"/>
    <mergeCell ref="E68:E70"/>
    <mergeCell ref="E71:E74"/>
    <mergeCell ref="E89:E92"/>
    <mergeCell ref="E93:E97"/>
    <mergeCell ref="G4:G5"/>
    <mergeCell ref="G6:G8"/>
    <mergeCell ref="G9:G11"/>
    <mergeCell ref="G12:G15"/>
    <mergeCell ref="G16:G19"/>
    <mergeCell ref="G20:G23"/>
    <mergeCell ref="G24:G29"/>
    <mergeCell ref="G30:G33"/>
    <mergeCell ref="G86:G88"/>
    <mergeCell ref="G57:G61"/>
    <mergeCell ref="G62:G67"/>
    <mergeCell ref="G68:G70"/>
    <mergeCell ref="G71:G74"/>
    <mergeCell ref="G38:G42"/>
    <mergeCell ref="G43:G46"/>
    <mergeCell ref="G47:G51"/>
    <mergeCell ref="G52:G56"/>
    <mergeCell ref="H20:H23"/>
    <mergeCell ref="H24:H29"/>
    <mergeCell ref="H30:H33"/>
    <mergeCell ref="G75:G77"/>
    <mergeCell ref="G78:G79"/>
    <mergeCell ref="G80:G85"/>
    <mergeCell ref="G34:G37"/>
    <mergeCell ref="H34:H37"/>
    <mergeCell ref="H38:H42"/>
    <mergeCell ref="H43:H46"/>
    <mergeCell ref="H47:H51"/>
    <mergeCell ref="H52:H56"/>
    <mergeCell ref="G93:G97"/>
    <mergeCell ref="H4:H5"/>
    <mergeCell ref="H6:H8"/>
    <mergeCell ref="H9:H11"/>
    <mergeCell ref="H12:H15"/>
    <mergeCell ref="H16:H19"/>
    <mergeCell ref="K24:K29"/>
    <mergeCell ref="K30:K33"/>
    <mergeCell ref="H75:H77"/>
    <mergeCell ref="H78:H79"/>
    <mergeCell ref="H80:H85"/>
    <mergeCell ref="H86:H88"/>
    <mergeCell ref="H57:H61"/>
    <mergeCell ref="H62:H67"/>
    <mergeCell ref="H68:H70"/>
    <mergeCell ref="H71:H74"/>
    <mergeCell ref="K38:K42"/>
    <mergeCell ref="K43:K46"/>
    <mergeCell ref="K47:K51"/>
    <mergeCell ref="K52:K56"/>
    <mergeCell ref="K4:K5"/>
    <mergeCell ref="K6:K8"/>
    <mergeCell ref="K9:K11"/>
    <mergeCell ref="K12:K15"/>
    <mergeCell ref="K16:K19"/>
    <mergeCell ref="K20:K23"/>
    <mergeCell ref="K75:K77"/>
    <mergeCell ref="K78:K79"/>
    <mergeCell ref="K80:K85"/>
    <mergeCell ref="K86:K88"/>
    <mergeCell ref="K57:K61"/>
    <mergeCell ref="K62:K67"/>
    <mergeCell ref="K68:K70"/>
    <mergeCell ref="K71:K74"/>
    <mergeCell ref="K89:K92"/>
    <mergeCell ref="K93:K97"/>
    <mergeCell ref="B98:B99"/>
    <mergeCell ref="D98:D99"/>
    <mergeCell ref="E98:E99"/>
    <mergeCell ref="G98:G99"/>
    <mergeCell ref="H98:H99"/>
    <mergeCell ref="H89:H92"/>
    <mergeCell ref="H93:H97"/>
    <mergeCell ref="G89:G92"/>
    <mergeCell ref="B103:B105"/>
    <mergeCell ref="D103:D105"/>
    <mergeCell ref="E103:E105"/>
    <mergeCell ref="G103:G105"/>
    <mergeCell ref="B100:B102"/>
    <mergeCell ref="D100:D102"/>
    <mergeCell ref="E100:E102"/>
    <mergeCell ref="G100:G102"/>
    <mergeCell ref="H100:H102"/>
    <mergeCell ref="K98:K99"/>
    <mergeCell ref="K100:K102"/>
    <mergeCell ref="H103:H105"/>
    <mergeCell ref="K103:K105"/>
    <mergeCell ref="H106:H108"/>
    <mergeCell ref="K106:K108"/>
    <mergeCell ref="H109:H111"/>
    <mergeCell ref="K109:K111"/>
    <mergeCell ref="B106:B108"/>
    <mergeCell ref="D106:D108"/>
    <mergeCell ref="B109:B111"/>
    <mergeCell ref="D109:D111"/>
    <mergeCell ref="E109:E111"/>
    <mergeCell ref="G109:G111"/>
    <mergeCell ref="E106:E108"/>
    <mergeCell ref="G106:G108"/>
  </mergeCells>
  <printOptions/>
  <pageMargins left="0.9448818897637796" right="0.35433070866141736" top="0.984251968503937"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tabColor indexed="51"/>
  </sheetPr>
  <dimension ref="B2:AD54"/>
  <sheetViews>
    <sheetView showGridLines="0" zoomScalePageLayoutView="0" workbookViewId="0" topLeftCell="A1">
      <pane xSplit="1" ySplit="4" topLeftCell="L5" activePane="bottomRight" state="frozen"/>
      <selection pane="topLeft" activeCell="A1" sqref="A1"/>
      <selection pane="topRight" activeCell="B1" sqref="B1"/>
      <selection pane="bottomLeft" activeCell="A5" sqref="A5"/>
      <selection pane="bottomRight" activeCell="T2" sqref="T2:AD2"/>
    </sheetView>
  </sheetViews>
  <sheetFormatPr defaultColWidth="9.00390625" defaultRowHeight="12.75"/>
  <cols>
    <col min="1" max="1" width="2.625" style="0" customWidth="1"/>
    <col min="2" max="5" width="8.625" style="0" customWidth="1"/>
    <col min="10" max="10" width="2.625" style="0" customWidth="1"/>
    <col min="19" max="19" width="2.625" style="0" customWidth="1"/>
  </cols>
  <sheetData>
    <row r="1" ht="15" customHeight="1"/>
    <row r="2" spans="2:30" ht="15" customHeight="1" thickBot="1">
      <c r="B2" s="321" t="s">
        <v>259</v>
      </c>
      <c r="C2" s="321"/>
      <c r="D2" s="321"/>
      <c r="E2" s="321"/>
      <c r="F2" s="321"/>
      <c r="G2" s="321"/>
      <c r="H2" s="321"/>
      <c r="I2" s="321"/>
      <c r="K2" s="321" t="s">
        <v>282</v>
      </c>
      <c r="L2" s="321"/>
      <c r="M2" s="321"/>
      <c r="N2" s="321"/>
      <c r="O2" s="321"/>
      <c r="P2" s="321"/>
      <c r="Q2" s="321"/>
      <c r="R2" s="321"/>
      <c r="T2" s="321" t="s">
        <v>258</v>
      </c>
      <c r="U2" s="321"/>
      <c r="V2" s="321"/>
      <c r="W2" s="321"/>
      <c r="X2" s="321"/>
      <c r="Y2" s="321"/>
      <c r="Z2" s="321"/>
      <c r="AA2" s="321"/>
      <c r="AB2" s="321"/>
      <c r="AC2" s="321"/>
      <c r="AD2" s="321"/>
    </row>
    <row r="3" spans="2:30" ht="15" customHeight="1" thickTop="1">
      <c r="B3" s="117" t="s">
        <v>260</v>
      </c>
      <c r="C3" s="121" t="s">
        <v>262</v>
      </c>
      <c r="D3" s="121" t="s">
        <v>0</v>
      </c>
      <c r="E3" s="118" t="s">
        <v>2</v>
      </c>
      <c r="F3" s="117" t="s">
        <v>260</v>
      </c>
      <c r="G3" s="121" t="s">
        <v>262</v>
      </c>
      <c r="H3" s="121" t="s">
        <v>0</v>
      </c>
      <c r="I3" s="118" t="s">
        <v>2</v>
      </c>
      <c r="K3" s="117" t="s">
        <v>280</v>
      </c>
      <c r="L3" s="121" t="s">
        <v>262</v>
      </c>
      <c r="M3" s="121" t="s">
        <v>0</v>
      </c>
      <c r="N3" s="118" t="s">
        <v>2</v>
      </c>
      <c r="O3" s="117" t="s">
        <v>260</v>
      </c>
      <c r="P3" s="121" t="s">
        <v>262</v>
      </c>
      <c r="Q3" s="121" t="s">
        <v>0</v>
      </c>
      <c r="R3" s="118" t="s">
        <v>2</v>
      </c>
      <c r="T3" s="117" t="s">
        <v>18</v>
      </c>
      <c r="U3" s="121" t="s">
        <v>17</v>
      </c>
      <c r="V3" s="121" t="s">
        <v>296</v>
      </c>
      <c r="W3" s="319" t="s">
        <v>298</v>
      </c>
      <c r="X3" s="319"/>
      <c r="Y3" s="319"/>
      <c r="Z3" s="319"/>
      <c r="AA3" s="319"/>
      <c r="AB3" s="319"/>
      <c r="AC3" s="319"/>
      <c r="AD3" s="320"/>
    </row>
    <row r="4" spans="2:30" ht="15" customHeight="1">
      <c r="B4" s="14" t="s">
        <v>22</v>
      </c>
      <c r="C4" s="65" t="s">
        <v>22</v>
      </c>
      <c r="D4" s="65" t="s">
        <v>23</v>
      </c>
      <c r="E4" s="16" t="s">
        <v>3</v>
      </c>
      <c r="F4" s="14" t="s">
        <v>22</v>
      </c>
      <c r="G4" s="65" t="s">
        <v>22</v>
      </c>
      <c r="H4" s="65" t="s">
        <v>23</v>
      </c>
      <c r="I4" s="16" t="s">
        <v>3</v>
      </c>
      <c r="K4" s="14" t="s">
        <v>22</v>
      </c>
      <c r="L4" s="65" t="s">
        <v>22</v>
      </c>
      <c r="M4" s="65" t="s">
        <v>23</v>
      </c>
      <c r="N4" s="16" t="s">
        <v>3</v>
      </c>
      <c r="O4" s="14" t="s">
        <v>22</v>
      </c>
      <c r="P4" s="65" t="s">
        <v>22</v>
      </c>
      <c r="Q4" s="65" t="s">
        <v>23</v>
      </c>
      <c r="R4" s="16" t="s">
        <v>3</v>
      </c>
      <c r="T4" s="14" t="s">
        <v>22</v>
      </c>
      <c r="U4" s="65" t="s">
        <v>22</v>
      </c>
      <c r="V4" s="65" t="s">
        <v>297</v>
      </c>
      <c r="W4" s="15">
        <v>1</v>
      </c>
      <c r="X4" s="65">
        <v>1.25</v>
      </c>
      <c r="Y4" s="65">
        <v>1.5</v>
      </c>
      <c r="Z4" s="65">
        <v>2</v>
      </c>
      <c r="AA4" s="15">
        <v>2.5</v>
      </c>
      <c r="AB4" s="119">
        <v>3</v>
      </c>
      <c r="AC4" s="119">
        <v>4</v>
      </c>
      <c r="AD4" s="120">
        <v>5</v>
      </c>
    </row>
    <row r="5" spans="2:30" ht="15" customHeight="1">
      <c r="B5" s="308" t="s">
        <v>279</v>
      </c>
      <c r="C5" s="101">
        <v>0.8</v>
      </c>
      <c r="D5" s="107">
        <v>0.217</v>
      </c>
      <c r="E5" s="116">
        <v>0.28</v>
      </c>
      <c r="F5" s="295" t="s">
        <v>271</v>
      </c>
      <c r="G5" s="31">
        <v>2.6</v>
      </c>
      <c r="H5" s="109">
        <v>8.99</v>
      </c>
      <c r="I5" s="106">
        <v>11.5</v>
      </c>
      <c r="K5" s="288" t="s">
        <v>281</v>
      </c>
      <c r="L5" s="65">
        <v>1.2</v>
      </c>
      <c r="M5" s="40">
        <v>1.05</v>
      </c>
      <c r="N5" s="102">
        <v>1.33</v>
      </c>
      <c r="O5" s="288" t="s">
        <v>47</v>
      </c>
      <c r="P5" s="65">
        <v>3.2</v>
      </c>
      <c r="Q5" s="40">
        <v>12</v>
      </c>
      <c r="R5" s="102">
        <v>15.2</v>
      </c>
      <c r="T5" s="14">
        <v>15</v>
      </c>
      <c r="U5" s="65">
        <v>15</v>
      </c>
      <c r="V5" s="122" t="s">
        <v>299</v>
      </c>
      <c r="W5" s="45">
        <v>0.438</v>
      </c>
      <c r="X5" s="45">
        <v>0.537</v>
      </c>
      <c r="Y5" s="45">
        <v>0.632</v>
      </c>
      <c r="Z5" s="45">
        <v>0.81</v>
      </c>
      <c r="AA5" s="36"/>
      <c r="AB5" s="36"/>
      <c r="AC5" s="36"/>
      <c r="AD5" s="85"/>
    </row>
    <row r="6" spans="2:30" ht="15" customHeight="1">
      <c r="B6" s="310"/>
      <c r="C6" s="65">
        <v>1</v>
      </c>
      <c r="D6" s="105">
        <v>0.262</v>
      </c>
      <c r="E6" s="116">
        <v>0.33</v>
      </c>
      <c r="F6" s="296"/>
      <c r="G6" s="31">
        <v>3.2</v>
      </c>
      <c r="H6" s="109">
        <v>11</v>
      </c>
      <c r="I6" s="106">
        <v>14</v>
      </c>
      <c r="K6" s="288"/>
      <c r="L6" s="65">
        <v>1.6</v>
      </c>
      <c r="M6" s="40">
        <v>1.36</v>
      </c>
      <c r="N6" s="102">
        <v>1.73</v>
      </c>
      <c r="O6" s="288"/>
      <c r="P6" s="65">
        <v>4</v>
      </c>
      <c r="Q6" s="40">
        <v>14.8</v>
      </c>
      <c r="R6" s="102">
        <v>18.8</v>
      </c>
      <c r="T6" s="14">
        <v>18</v>
      </c>
      <c r="U6" s="65">
        <v>18</v>
      </c>
      <c r="V6" s="122" t="s">
        <v>299</v>
      </c>
      <c r="W6" s="45">
        <v>0.532</v>
      </c>
      <c r="X6" s="45">
        <v>0.655</v>
      </c>
      <c r="Y6" s="45">
        <v>0.773</v>
      </c>
      <c r="Z6" s="45">
        <v>0.998</v>
      </c>
      <c r="AA6" s="36"/>
      <c r="AB6" s="36"/>
      <c r="AC6" s="36"/>
      <c r="AD6" s="85"/>
    </row>
    <row r="7" spans="2:30" ht="15" customHeight="1">
      <c r="B7" s="295" t="s">
        <v>261</v>
      </c>
      <c r="C7" s="31">
        <v>1.2</v>
      </c>
      <c r="D7" s="109">
        <v>0.67</v>
      </c>
      <c r="E7" s="106">
        <v>0.853</v>
      </c>
      <c r="F7" s="296"/>
      <c r="G7" s="31">
        <v>4</v>
      </c>
      <c r="H7" s="109">
        <v>13.5</v>
      </c>
      <c r="I7" s="106">
        <v>17.2</v>
      </c>
      <c r="K7" s="288"/>
      <c r="L7" s="65">
        <v>2</v>
      </c>
      <c r="M7" s="40">
        <v>1.65</v>
      </c>
      <c r="N7" s="102">
        <v>2.1</v>
      </c>
      <c r="O7" s="288"/>
      <c r="P7" s="65">
        <v>5</v>
      </c>
      <c r="Q7" s="40">
        <v>18.2</v>
      </c>
      <c r="R7" s="102">
        <v>23.1</v>
      </c>
      <c r="T7" s="288">
        <v>20</v>
      </c>
      <c r="U7" s="65">
        <v>10</v>
      </c>
      <c r="V7" s="318" t="s">
        <v>299</v>
      </c>
      <c r="W7" s="45">
        <v>0.438</v>
      </c>
      <c r="X7" s="45">
        <v>0.537</v>
      </c>
      <c r="Y7" s="45">
        <v>0.632</v>
      </c>
      <c r="Z7" s="45">
        <v>0.81</v>
      </c>
      <c r="AA7" s="36"/>
      <c r="AB7" s="36"/>
      <c r="AC7" s="36"/>
      <c r="AD7" s="85"/>
    </row>
    <row r="8" spans="2:30" ht="15" customHeight="1">
      <c r="B8" s="296"/>
      <c r="C8" s="31">
        <v>1.6</v>
      </c>
      <c r="D8" s="109">
        <v>0.855</v>
      </c>
      <c r="E8" s="106">
        <v>1.09</v>
      </c>
      <c r="F8" s="296"/>
      <c r="G8" s="31">
        <v>5</v>
      </c>
      <c r="H8" s="109">
        <v>16.6</v>
      </c>
      <c r="I8" s="106">
        <v>21.1</v>
      </c>
      <c r="K8" s="288"/>
      <c r="L8" s="65">
        <v>2.6</v>
      </c>
      <c r="M8" s="40">
        <v>2.05</v>
      </c>
      <c r="N8" s="102">
        <v>2.62</v>
      </c>
      <c r="O8" s="288"/>
      <c r="P8" s="65">
        <v>6.3</v>
      </c>
      <c r="Q8" s="40">
        <v>22.4</v>
      </c>
      <c r="R8" s="102">
        <v>28.5</v>
      </c>
      <c r="T8" s="288"/>
      <c r="U8" s="65">
        <v>15</v>
      </c>
      <c r="V8" s="318"/>
      <c r="W8" s="45">
        <v>0.516</v>
      </c>
      <c r="X8" s="45">
        <v>0.635</v>
      </c>
      <c r="Y8" s="45">
        <v>0.75</v>
      </c>
      <c r="Z8" s="45">
        <v>0.967</v>
      </c>
      <c r="AA8" s="36"/>
      <c r="AB8" s="36"/>
      <c r="AC8" s="36"/>
      <c r="AD8" s="85"/>
    </row>
    <row r="9" spans="2:30" ht="15" customHeight="1">
      <c r="B9" s="297"/>
      <c r="C9" s="31">
        <v>2</v>
      </c>
      <c r="D9" s="109">
        <v>1.02</v>
      </c>
      <c r="E9" s="106">
        <v>1.3</v>
      </c>
      <c r="F9" s="296"/>
      <c r="G9" s="31">
        <v>6.3</v>
      </c>
      <c r="H9" s="109">
        <v>20.4</v>
      </c>
      <c r="I9" s="106">
        <v>26</v>
      </c>
      <c r="K9" s="308" t="s">
        <v>283</v>
      </c>
      <c r="L9" s="65">
        <v>1.2</v>
      </c>
      <c r="M9" s="40">
        <v>1.42</v>
      </c>
      <c r="N9" s="102">
        <v>1.81</v>
      </c>
      <c r="O9" s="288"/>
      <c r="P9" s="65">
        <v>7.1</v>
      </c>
      <c r="Q9" s="40">
        <v>24.9</v>
      </c>
      <c r="R9" s="102">
        <v>31.8</v>
      </c>
      <c r="T9" s="288"/>
      <c r="U9" s="65">
        <v>20</v>
      </c>
      <c r="V9" s="318"/>
      <c r="W9" s="45">
        <v>0.595</v>
      </c>
      <c r="X9" s="45">
        <v>0.733</v>
      </c>
      <c r="Y9" s="45">
        <v>0.868</v>
      </c>
      <c r="Z9" s="45">
        <v>1.12</v>
      </c>
      <c r="AA9" s="36"/>
      <c r="AB9" s="36"/>
      <c r="AC9" s="36"/>
      <c r="AD9" s="85"/>
    </row>
    <row r="10" spans="2:30" ht="15" customHeight="1">
      <c r="B10" s="295" t="s">
        <v>263</v>
      </c>
      <c r="C10" s="31">
        <v>1.2</v>
      </c>
      <c r="D10" s="109">
        <v>1.05</v>
      </c>
      <c r="E10" s="106">
        <v>1.33</v>
      </c>
      <c r="F10" s="297"/>
      <c r="G10" s="31">
        <v>7.1</v>
      </c>
      <c r="H10" s="109">
        <v>22.7</v>
      </c>
      <c r="I10" s="106">
        <v>28.9</v>
      </c>
      <c r="K10" s="309"/>
      <c r="L10" s="65">
        <v>1.6</v>
      </c>
      <c r="M10" s="40">
        <v>1.86</v>
      </c>
      <c r="N10" s="102">
        <v>2.37</v>
      </c>
      <c r="O10" s="288"/>
      <c r="P10" s="65">
        <v>8</v>
      </c>
      <c r="Q10" s="40">
        <v>27.7</v>
      </c>
      <c r="R10" s="102">
        <v>35.2</v>
      </c>
      <c r="T10" s="308">
        <v>25</v>
      </c>
      <c r="U10" s="65">
        <v>15</v>
      </c>
      <c r="V10" s="313" t="s">
        <v>300</v>
      </c>
      <c r="W10" s="45">
        <v>0.595</v>
      </c>
      <c r="X10" s="45">
        <v>0.733</v>
      </c>
      <c r="Y10" s="45">
        <v>0.868</v>
      </c>
      <c r="Z10" s="45">
        <v>1.12</v>
      </c>
      <c r="AA10" s="36"/>
      <c r="AB10" s="36"/>
      <c r="AC10" s="36"/>
      <c r="AD10" s="85"/>
    </row>
    <row r="11" spans="2:30" ht="15" customHeight="1">
      <c r="B11" s="296"/>
      <c r="C11" s="31">
        <v>1.6</v>
      </c>
      <c r="D11" s="109">
        <v>1.36</v>
      </c>
      <c r="E11" s="106">
        <v>1.73</v>
      </c>
      <c r="F11" s="295" t="s">
        <v>272</v>
      </c>
      <c r="G11" s="34">
        <v>3.2</v>
      </c>
      <c r="H11" s="109">
        <v>11.5</v>
      </c>
      <c r="I11" s="106">
        <v>14.6</v>
      </c>
      <c r="K11" s="309"/>
      <c r="L11" s="65">
        <v>2</v>
      </c>
      <c r="M11" s="40">
        <v>2.28</v>
      </c>
      <c r="N11" s="102">
        <v>2.5</v>
      </c>
      <c r="O11" s="288"/>
      <c r="P11" s="65">
        <v>10</v>
      </c>
      <c r="Q11" s="40">
        <v>33.4</v>
      </c>
      <c r="R11" s="102">
        <v>42.6</v>
      </c>
      <c r="T11" s="310"/>
      <c r="U11" s="65">
        <v>25</v>
      </c>
      <c r="V11" s="315"/>
      <c r="W11" s="45">
        <v>0.752</v>
      </c>
      <c r="X11" s="45">
        <v>0.93</v>
      </c>
      <c r="Y11" s="45">
        <v>1.1</v>
      </c>
      <c r="Z11" s="45">
        <v>1.44</v>
      </c>
      <c r="AA11" s="36"/>
      <c r="AB11" s="36"/>
      <c r="AC11" s="36"/>
      <c r="AD11" s="85"/>
    </row>
    <row r="12" spans="2:30" ht="15" customHeight="1">
      <c r="B12" s="296"/>
      <c r="C12" s="31">
        <v>2</v>
      </c>
      <c r="D12" s="109">
        <v>1.65</v>
      </c>
      <c r="E12" s="106">
        <v>2.1</v>
      </c>
      <c r="F12" s="296"/>
      <c r="G12" s="31">
        <v>4</v>
      </c>
      <c r="H12" s="109">
        <v>14.1</v>
      </c>
      <c r="I12" s="106">
        <v>18</v>
      </c>
      <c r="K12" s="309"/>
      <c r="L12" s="65">
        <v>2.6</v>
      </c>
      <c r="M12" s="40">
        <v>2.87</v>
      </c>
      <c r="N12" s="102">
        <v>3.66</v>
      </c>
      <c r="O12" s="288" t="s">
        <v>291</v>
      </c>
      <c r="P12" s="65">
        <v>3.2</v>
      </c>
      <c r="Q12" s="40">
        <v>11.5</v>
      </c>
      <c r="R12" s="102">
        <v>14.6</v>
      </c>
      <c r="T12" s="308">
        <v>30</v>
      </c>
      <c r="U12" s="65">
        <v>10</v>
      </c>
      <c r="V12" s="313" t="s">
        <v>300</v>
      </c>
      <c r="W12" s="45">
        <v>0.595</v>
      </c>
      <c r="X12" s="45">
        <v>0.733</v>
      </c>
      <c r="Y12" s="45">
        <v>0.868</v>
      </c>
      <c r="Z12" s="45">
        <v>1.12</v>
      </c>
      <c r="AA12" s="36"/>
      <c r="AB12" s="36"/>
      <c r="AC12" s="36"/>
      <c r="AD12" s="85"/>
    </row>
    <row r="13" spans="2:30" ht="15" customHeight="1">
      <c r="B13" s="297"/>
      <c r="C13" s="31">
        <v>2.6</v>
      </c>
      <c r="D13" s="109">
        <v>2.05</v>
      </c>
      <c r="E13" s="106">
        <v>2.62</v>
      </c>
      <c r="F13" s="296"/>
      <c r="G13" s="31">
        <v>5</v>
      </c>
      <c r="H13" s="109">
        <v>17.4</v>
      </c>
      <c r="I13" s="106">
        <v>22.1</v>
      </c>
      <c r="K13" s="309"/>
      <c r="L13" s="65">
        <v>3.2</v>
      </c>
      <c r="M13" s="40">
        <v>3.42</v>
      </c>
      <c r="N13" s="102">
        <v>4.36</v>
      </c>
      <c r="O13" s="288"/>
      <c r="P13" s="65">
        <v>4</v>
      </c>
      <c r="Q13" s="40">
        <v>14.1</v>
      </c>
      <c r="R13" s="102">
        <v>18</v>
      </c>
      <c r="T13" s="309"/>
      <c r="U13" s="65">
        <v>15</v>
      </c>
      <c r="V13" s="314"/>
      <c r="W13" s="45">
        <v>0.673</v>
      </c>
      <c r="X13" s="45">
        <v>0.831</v>
      </c>
      <c r="Y13" s="45">
        <v>0.985</v>
      </c>
      <c r="Z13" s="45">
        <v>1.28</v>
      </c>
      <c r="AA13" s="36"/>
      <c r="AB13" s="36"/>
      <c r="AC13" s="36"/>
      <c r="AD13" s="85"/>
    </row>
    <row r="14" spans="2:30" ht="15" customHeight="1">
      <c r="B14" s="295" t="s">
        <v>264</v>
      </c>
      <c r="C14" s="31">
        <v>1.2</v>
      </c>
      <c r="D14" s="109">
        <v>1.42</v>
      </c>
      <c r="E14" s="106">
        <v>1.81</v>
      </c>
      <c r="F14" s="296"/>
      <c r="G14" s="31">
        <v>6.3</v>
      </c>
      <c r="H14" s="109">
        <v>21.4</v>
      </c>
      <c r="I14" s="106">
        <v>27.3</v>
      </c>
      <c r="K14" s="310"/>
      <c r="L14" s="65">
        <v>4</v>
      </c>
      <c r="M14" s="40">
        <v>4.09</v>
      </c>
      <c r="N14" s="102">
        <v>5.21</v>
      </c>
      <c r="O14" s="288"/>
      <c r="P14" s="65">
        <v>5</v>
      </c>
      <c r="Q14" s="40">
        <v>17.4</v>
      </c>
      <c r="R14" s="102">
        <v>22.1</v>
      </c>
      <c r="T14" s="309"/>
      <c r="U14" s="65">
        <v>20</v>
      </c>
      <c r="V14" s="314"/>
      <c r="W14" s="45">
        <v>0.752</v>
      </c>
      <c r="X14" s="45">
        <v>0.93</v>
      </c>
      <c r="Y14" s="45">
        <v>1.1</v>
      </c>
      <c r="Z14" s="45">
        <v>1.44</v>
      </c>
      <c r="AA14" s="36"/>
      <c r="AB14" s="36"/>
      <c r="AC14" s="36"/>
      <c r="AD14" s="85"/>
    </row>
    <row r="15" spans="2:30" ht="15" customHeight="1">
      <c r="B15" s="296"/>
      <c r="C15" s="31">
        <v>1.6</v>
      </c>
      <c r="D15" s="109">
        <v>1.86</v>
      </c>
      <c r="E15" s="106">
        <v>2.37</v>
      </c>
      <c r="F15" s="296"/>
      <c r="G15" s="31">
        <v>7.1</v>
      </c>
      <c r="H15" s="109">
        <v>23.8</v>
      </c>
      <c r="I15" s="106">
        <v>30.3</v>
      </c>
      <c r="K15" s="308" t="s">
        <v>284</v>
      </c>
      <c r="L15" s="65">
        <v>1.2</v>
      </c>
      <c r="M15" s="40">
        <v>2.36</v>
      </c>
      <c r="N15" s="102">
        <v>3.01</v>
      </c>
      <c r="O15" s="288"/>
      <c r="P15" s="65">
        <v>6.3</v>
      </c>
      <c r="Q15" s="40">
        <v>21.4</v>
      </c>
      <c r="R15" s="102">
        <v>27.3</v>
      </c>
      <c r="T15" s="310"/>
      <c r="U15" s="65">
        <v>30</v>
      </c>
      <c r="V15" s="315"/>
      <c r="W15" s="45">
        <v>0.909</v>
      </c>
      <c r="X15" s="45">
        <v>1.13</v>
      </c>
      <c r="Y15" s="45">
        <v>1.34</v>
      </c>
      <c r="Z15" s="45">
        <v>1.75</v>
      </c>
      <c r="AA15" s="45">
        <v>2.15</v>
      </c>
      <c r="AB15" s="45">
        <v>2.49</v>
      </c>
      <c r="AC15" s="36"/>
      <c r="AD15" s="85"/>
    </row>
    <row r="16" spans="2:30" ht="15" customHeight="1">
      <c r="B16" s="296"/>
      <c r="C16" s="31">
        <v>2</v>
      </c>
      <c r="D16" s="109">
        <v>2.28</v>
      </c>
      <c r="E16" s="106">
        <v>2.9</v>
      </c>
      <c r="F16" s="296"/>
      <c r="G16" s="31">
        <v>8</v>
      </c>
      <c r="H16" s="109">
        <v>26.4</v>
      </c>
      <c r="I16" s="106">
        <v>33.6</v>
      </c>
      <c r="K16" s="309"/>
      <c r="L16" s="65">
        <v>1.6</v>
      </c>
      <c r="M16" s="40">
        <v>2.91</v>
      </c>
      <c r="N16" s="102">
        <v>3.7</v>
      </c>
      <c r="O16" s="288"/>
      <c r="P16" s="65">
        <v>7.1</v>
      </c>
      <c r="Q16" s="40">
        <v>23.8</v>
      </c>
      <c r="R16" s="102">
        <v>30.3</v>
      </c>
      <c r="T16" s="308">
        <v>34</v>
      </c>
      <c r="U16" s="65">
        <v>20</v>
      </c>
      <c r="V16" s="313" t="s">
        <v>300</v>
      </c>
      <c r="W16" s="45">
        <v>0.815</v>
      </c>
      <c r="X16" s="45">
        <v>1.01</v>
      </c>
      <c r="Y16" s="45">
        <v>1.2</v>
      </c>
      <c r="Z16" s="45">
        <v>1.56</v>
      </c>
      <c r="AA16" s="45"/>
      <c r="AB16" s="45"/>
      <c r="AC16" s="36"/>
      <c r="AD16" s="85"/>
    </row>
    <row r="17" spans="2:30" ht="15" customHeight="1">
      <c r="B17" s="296"/>
      <c r="C17" s="31">
        <v>2.6</v>
      </c>
      <c r="D17" s="109">
        <v>2.87</v>
      </c>
      <c r="E17" s="106">
        <v>3.66</v>
      </c>
      <c r="F17" s="297"/>
      <c r="G17" s="31">
        <v>10</v>
      </c>
      <c r="H17" s="109">
        <v>31.8</v>
      </c>
      <c r="I17" s="106">
        <v>40.6</v>
      </c>
      <c r="K17" s="309"/>
      <c r="L17" s="65">
        <v>2</v>
      </c>
      <c r="M17" s="40">
        <v>3.69</v>
      </c>
      <c r="N17" s="102">
        <v>4.7</v>
      </c>
      <c r="O17" s="288"/>
      <c r="P17" s="65">
        <v>8</v>
      </c>
      <c r="Q17" s="40">
        <v>26.4</v>
      </c>
      <c r="R17" s="102">
        <v>33.6</v>
      </c>
      <c r="T17" s="310"/>
      <c r="U17" s="65">
        <v>34</v>
      </c>
      <c r="V17" s="298"/>
      <c r="W17" s="45">
        <v>1.03</v>
      </c>
      <c r="X17" s="45">
        <v>1.28</v>
      </c>
      <c r="Y17" s="45">
        <v>1.53</v>
      </c>
      <c r="Z17" s="45">
        <v>2</v>
      </c>
      <c r="AA17" s="45">
        <v>2.46</v>
      </c>
      <c r="AB17" s="45">
        <v>2.77</v>
      </c>
      <c r="AC17" s="36"/>
      <c r="AD17" s="85"/>
    </row>
    <row r="18" spans="2:30" ht="15" customHeight="1">
      <c r="B18" s="296"/>
      <c r="C18" s="31">
        <v>3.2</v>
      </c>
      <c r="D18" s="109">
        <v>3.42</v>
      </c>
      <c r="E18" s="106">
        <v>4.36</v>
      </c>
      <c r="F18" s="295" t="s">
        <v>273</v>
      </c>
      <c r="G18" s="34">
        <v>3.2</v>
      </c>
      <c r="H18" s="109">
        <v>13</v>
      </c>
      <c r="I18" s="106">
        <v>16.5</v>
      </c>
      <c r="K18" s="309"/>
      <c r="L18" s="65">
        <v>2.6</v>
      </c>
      <c r="M18" s="40">
        <v>4.43</v>
      </c>
      <c r="N18" s="102">
        <v>5.64</v>
      </c>
      <c r="O18" s="288"/>
      <c r="P18" s="65">
        <v>10</v>
      </c>
      <c r="Q18" s="40">
        <v>31.8</v>
      </c>
      <c r="R18" s="102">
        <v>40.6</v>
      </c>
      <c r="T18" s="288">
        <v>35</v>
      </c>
      <c r="U18" s="65">
        <v>20</v>
      </c>
      <c r="V18" s="318" t="s">
        <v>300</v>
      </c>
      <c r="W18" s="45">
        <v>0.83</v>
      </c>
      <c r="X18" s="45">
        <v>1.03</v>
      </c>
      <c r="Y18" s="45">
        <v>1.22</v>
      </c>
      <c r="Z18" s="45">
        <v>1.59</v>
      </c>
      <c r="AA18" s="45">
        <v>1.95</v>
      </c>
      <c r="AB18" s="45"/>
      <c r="AC18" s="36"/>
      <c r="AD18" s="85"/>
    </row>
    <row r="19" spans="2:30" ht="15" customHeight="1">
      <c r="B19" s="297"/>
      <c r="C19" s="31">
        <v>4</v>
      </c>
      <c r="D19" s="109">
        <v>4.09</v>
      </c>
      <c r="E19" s="106">
        <v>5.21</v>
      </c>
      <c r="F19" s="296"/>
      <c r="G19" s="31">
        <v>4</v>
      </c>
      <c r="H19" s="109">
        <v>16</v>
      </c>
      <c r="I19" s="106">
        <v>20.4</v>
      </c>
      <c r="K19" s="309"/>
      <c r="L19" s="65">
        <v>3.2</v>
      </c>
      <c r="M19" s="40">
        <v>5.35</v>
      </c>
      <c r="N19" s="102">
        <v>6.81</v>
      </c>
      <c r="O19" s="288" t="s">
        <v>292</v>
      </c>
      <c r="P19" s="65">
        <v>3.2</v>
      </c>
      <c r="Q19" s="40">
        <v>13.5</v>
      </c>
      <c r="R19" s="102">
        <v>17.2</v>
      </c>
      <c r="T19" s="288"/>
      <c r="U19" s="65">
        <v>25</v>
      </c>
      <c r="V19" s="318"/>
      <c r="W19" s="45">
        <v>0.909</v>
      </c>
      <c r="X19" s="45">
        <v>1.13</v>
      </c>
      <c r="Y19" s="45">
        <v>1.34</v>
      </c>
      <c r="Z19" s="45">
        <v>1.75</v>
      </c>
      <c r="AA19" s="45">
        <v>2.15</v>
      </c>
      <c r="AB19" s="45">
        <v>2.39</v>
      </c>
      <c r="AC19" s="36"/>
      <c r="AD19" s="85"/>
    </row>
    <row r="20" spans="2:30" ht="15" customHeight="1">
      <c r="B20" s="295" t="s">
        <v>265</v>
      </c>
      <c r="C20" s="31">
        <v>1.6</v>
      </c>
      <c r="D20" s="109">
        <v>2.36</v>
      </c>
      <c r="E20" s="106">
        <v>3.01</v>
      </c>
      <c r="F20" s="296"/>
      <c r="G20" s="31">
        <v>5</v>
      </c>
      <c r="H20" s="109">
        <v>19.7</v>
      </c>
      <c r="I20" s="106">
        <v>25.1</v>
      </c>
      <c r="K20" s="310"/>
      <c r="L20" s="65">
        <v>4</v>
      </c>
      <c r="M20" s="40">
        <v>6.39</v>
      </c>
      <c r="N20" s="102">
        <v>8.14</v>
      </c>
      <c r="O20" s="288"/>
      <c r="P20" s="65">
        <v>4</v>
      </c>
      <c r="Q20" s="40">
        <v>16.7</v>
      </c>
      <c r="R20" s="102">
        <v>21.2</v>
      </c>
      <c r="T20" s="288"/>
      <c r="U20" s="65">
        <v>35</v>
      </c>
      <c r="V20" s="318"/>
      <c r="W20" s="45">
        <v>1.07</v>
      </c>
      <c r="X20" s="45">
        <v>1.32</v>
      </c>
      <c r="Y20" s="45">
        <v>1.57</v>
      </c>
      <c r="Z20" s="45">
        <v>2.07</v>
      </c>
      <c r="AA20" s="45">
        <v>2.54</v>
      </c>
      <c r="AB20" s="45">
        <v>2.86</v>
      </c>
      <c r="AC20" s="36"/>
      <c r="AD20" s="85"/>
    </row>
    <row r="21" spans="2:30" ht="15" customHeight="1">
      <c r="B21" s="296"/>
      <c r="C21" s="31">
        <v>2</v>
      </c>
      <c r="D21" s="109">
        <v>2.91</v>
      </c>
      <c r="E21" s="106">
        <v>3.7</v>
      </c>
      <c r="F21" s="296"/>
      <c r="G21" s="31">
        <v>6.3</v>
      </c>
      <c r="H21" s="109">
        <v>24.4</v>
      </c>
      <c r="I21" s="106">
        <v>31.1</v>
      </c>
      <c r="K21" s="308" t="s">
        <v>285</v>
      </c>
      <c r="L21" s="65">
        <v>1.6</v>
      </c>
      <c r="M21" s="40">
        <v>2.87</v>
      </c>
      <c r="N21" s="102">
        <v>3.65</v>
      </c>
      <c r="O21" s="288"/>
      <c r="P21" s="65">
        <v>5</v>
      </c>
      <c r="Q21" s="40">
        <v>20.5</v>
      </c>
      <c r="R21" s="102">
        <v>26.1</v>
      </c>
      <c r="T21" s="14">
        <v>36</v>
      </c>
      <c r="U21" s="65">
        <v>11</v>
      </c>
      <c r="V21" s="122" t="s">
        <v>300</v>
      </c>
      <c r="W21" s="36">
        <v>0.705</v>
      </c>
      <c r="X21" s="36">
        <v>0.871</v>
      </c>
      <c r="Y21" s="40">
        <v>1.03</v>
      </c>
      <c r="Z21" s="40">
        <v>1.34</v>
      </c>
      <c r="AA21" s="40"/>
      <c r="AB21" s="40"/>
      <c r="AC21" s="40"/>
      <c r="AD21" s="102"/>
    </row>
    <row r="22" spans="2:30" ht="15" customHeight="1">
      <c r="B22" s="296"/>
      <c r="C22" s="31">
        <v>2.6</v>
      </c>
      <c r="D22" s="109">
        <v>3.69</v>
      </c>
      <c r="E22" s="106">
        <v>4.7</v>
      </c>
      <c r="F22" s="296"/>
      <c r="G22" s="31">
        <v>7.1</v>
      </c>
      <c r="H22" s="109">
        <v>27.2</v>
      </c>
      <c r="I22" s="106">
        <v>34.6</v>
      </c>
      <c r="K22" s="309"/>
      <c r="L22" s="65">
        <v>2</v>
      </c>
      <c r="M22" s="40">
        <v>3.53</v>
      </c>
      <c r="N22" s="102">
        <v>4.5</v>
      </c>
      <c r="O22" s="288"/>
      <c r="P22" s="65">
        <v>6.3</v>
      </c>
      <c r="Q22" s="40">
        <v>25.4</v>
      </c>
      <c r="R22" s="102">
        <v>32.3</v>
      </c>
      <c r="T22" s="308">
        <v>40</v>
      </c>
      <c r="U22" s="65">
        <v>20</v>
      </c>
      <c r="V22" s="313" t="s">
        <v>301</v>
      </c>
      <c r="W22" s="36"/>
      <c r="X22" s="36"/>
      <c r="Y22" s="40">
        <v>1.04</v>
      </c>
      <c r="Z22" s="40">
        <v>1.75</v>
      </c>
      <c r="AA22" s="40">
        <v>2.15</v>
      </c>
      <c r="AB22" s="40">
        <v>2.39</v>
      </c>
      <c r="AC22" s="40"/>
      <c r="AD22" s="102"/>
    </row>
    <row r="23" spans="2:30" ht="15" customHeight="1">
      <c r="B23" s="296"/>
      <c r="C23" s="31">
        <v>3.2</v>
      </c>
      <c r="D23" s="109">
        <v>4.43</v>
      </c>
      <c r="E23" s="106">
        <v>5.64</v>
      </c>
      <c r="F23" s="296"/>
      <c r="G23" s="31">
        <v>8</v>
      </c>
      <c r="H23" s="109">
        <v>30.2</v>
      </c>
      <c r="I23" s="106">
        <v>38.4</v>
      </c>
      <c r="K23" s="309"/>
      <c r="L23" s="65">
        <v>2.6</v>
      </c>
      <c r="M23" s="40">
        <v>4.5</v>
      </c>
      <c r="N23" s="102">
        <v>5.74</v>
      </c>
      <c r="O23" s="288"/>
      <c r="P23" s="65">
        <v>7.1</v>
      </c>
      <c r="Q23" s="40">
        <v>28.3</v>
      </c>
      <c r="R23" s="102">
        <v>36</v>
      </c>
      <c r="T23" s="309"/>
      <c r="U23" s="65">
        <v>25</v>
      </c>
      <c r="V23" s="314"/>
      <c r="W23" s="36"/>
      <c r="X23" s="36"/>
      <c r="Y23" s="40">
        <v>1.46</v>
      </c>
      <c r="Z23" s="40">
        <v>1.91</v>
      </c>
      <c r="AA23" s="40">
        <v>2.34</v>
      </c>
      <c r="AB23" s="40">
        <v>2.63</v>
      </c>
      <c r="AC23" s="40"/>
      <c r="AD23" s="102"/>
    </row>
    <row r="24" spans="2:30" ht="15" customHeight="1">
      <c r="B24" s="296"/>
      <c r="C24" s="31">
        <v>4</v>
      </c>
      <c r="D24" s="109">
        <v>5.35</v>
      </c>
      <c r="E24" s="106">
        <v>6.81</v>
      </c>
      <c r="F24" s="297"/>
      <c r="G24" s="31">
        <v>10</v>
      </c>
      <c r="H24" s="109">
        <v>36.6</v>
      </c>
      <c r="I24" s="106">
        <v>46.6</v>
      </c>
      <c r="K24" s="309"/>
      <c r="L24" s="65">
        <v>3.2</v>
      </c>
      <c r="M24" s="40">
        <v>5.43</v>
      </c>
      <c r="N24" s="102">
        <v>6.92</v>
      </c>
      <c r="O24" s="288"/>
      <c r="P24" s="65">
        <v>8</v>
      </c>
      <c r="Q24" s="40">
        <v>31.4</v>
      </c>
      <c r="R24" s="102">
        <v>40</v>
      </c>
      <c r="T24" s="309"/>
      <c r="U24" s="65">
        <v>30</v>
      </c>
      <c r="V24" s="314"/>
      <c r="W24" s="36"/>
      <c r="X24" s="36"/>
      <c r="Y24" s="40">
        <v>1.57</v>
      </c>
      <c r="Z24" s="40">
        <v>2.07</v>
      </c>
      <c r="AA24" s="40">
        <v>2.54</v>
      </c>
      <c r="AB24" s="40">
        <v>2.86</v>
      </c>
      <c r="AC24" s="40"/>
      <c r="AD24" s="102"/>
    </row>
    <row r="25" spans="2:30" ht="15" customHeight="1">
      <c r="B25" s="297"/>
      <c r="C25" s="31">
        <v>5</v>
      </c>
      <c r="D25" s="109">
        <v>6.39</v>
      </c>
      <c r="E25" s="106">
        <v>8.14</v>
      </c>
      <c r="F25" s="295" t="s">
        <v>274</v>
      </c>
      <c r="G25" s="31">
        <v>4</v>
      </c>
      <c r="H25" s="109">
        <v>16.7</v>
      </c>
      <c r="I25" s="106">
        <v>21.2</v>
      </c>
      <c r="K25" s="309"/>
      <c r="L25" s="65">
        <v>4</v>
      </c>
      <c r="M25" s="40">
        <v>6.6</v>
      </c>
      <c r="N25" s="102">
        <v>8.41</v>
      </c>
      <c r="O25" s="288"/>
      <c r="P25" s="65">
        <v>10</v>
      </c>
      <c r="Q25" s="40">
        <v>38.1</v>
      </c>
      <c r="R25" s="102">
        <v>48.6</v>
      </c>
      <c r="T25" s="310"/>
      <c r="U25" s="65">
        <v>40</v>
      </c>
      <c r="V25" s="315"/>
      <c r="W25" s="36"/>
      <c r="X25" s="36"/>
      <c r="Y25" s="40">
        <v>1.81</v>
      </c>
      <c r="Z25" s="40">
        <v>2.38</v>
      </c>
      <c r="AA25" s="40">
        <v>2.93</v>
      </c>
      <c r="AB25" s="40">
        <v>3.33</v>
      </c>
      <c r="AC25" s="40">
        <v>4.25</v>
      </c>
      <c r="AD25" s="102"/>
    </row>
    <row r="26" spans="2:30" ht="15" customHeight="1">
      <c r="B26" s="295" t="s">
        <v>266</v>
      </c>
      <c r="C26" s="31">
        <v>1.6</v>
      </c>
      <c r="D26" s="109">
        <v>2.87</v>
      </c>
      <c r="E26" s="106">
        <v>3.65</v>
      </c>
      <c r="F26" s="296"/>
      <c r="G26" s="31">
        <v>5</v>
      </c>
      <c r="H26" s="109">
        <v>20.5</v>
      </c>
      <c r="I26" s="106">
        <v>26.1</v>
      </c>
      <c r="K26" s="310"/>
      <c r="L26" s="65">
        <v>5</v>
      </c>
      <c r="M26" s="40">
        <v>7.96</v>
      </c>
      <c r="N26" s="102">
        <v>10.1</v>
      </c>
      <c r="O26" s="308" t="s">
        <v>293</v>
      </c>
      <c r="P26" s="65">
        <v>4</v>
      </c>
      <c r="Q26" s="40">
        <v>17.9</v>
      </c>
      <c r="R26" s="102">
        <v>22.8</v>
      </c>
      <c r="T26" s="14">
        <v>45</v>
      </c>
      <c r="U26" s="65">
        <v>45</v>
      </c>
      <c r="V26" s="122" t="s">
        <v>301</v>
      </c>
      <c r="W26" s="36"/>
      <c r="X26" s="36"/>
      <c r="Y26" s="40">
        <v>2.05</v>
      </c>
      <c r="Z26" s="40">
        <v>2.69</v>
      </c>
      <c r="AA26" s="40">
        <v>3.33</v>
      </c>
      <c r="AB26" s="40">
        <v>3.8</v>
      </c>
      <c r="AC26" s="40">
        <v>4.88</v>
      </c>
      <c r="AD26" s="102"/>
    </row>
    <row r="27" spans="2:30" ht="15" customHeight="1">
      <c r="B27" s="296"/>
      <c r="C27" s="31">
        <v>2</v>
      </c>
      <c r="D27" s="109">
        <v>3.53</v>
      </c>
      <c r="E27" s="106">
        <v>4.5</v>
      </c>
      <c r="F27" s="296"/>
      <c r="G27" s="31">
        <v>6.3</v>
      </c>
      <c r="H27" s="109">
        <v>25.4</v>
      </c>
      <c r="I27" s="106">
        <v>32.3</v>
      </c>
      <c r="K27" s="308" t="s">
        <v>286</v>
      </c>
      <c r="L27" s="65">
        <v>1.6</v>
      </c>
      <c r="M27" s="40">
        <v>3.37</v>
      </c>
      <c r="N27" s="102">
        <v>4.29</v>
      </c>
      <c r="O27" s="309"/>
      <c r="P27" s="65">
        <v>5</v>
      </c>
      <c r="Q27" s="40">
        <v>22.1</v>
      </c>
      <c r="R27" s="102">
        <v>28.1</v>
      </c>
      <c r="T27" s="308">
        <v>50</v>
      </c>
      <c r="U27" s="65">
        <v>20</v>
      </c>
      <c r="V27" s="313" t="s">
        <v>301</v>
      </c>
      <c r="W27" s="36"/>
      <c r="X27" s="36"/>
      <c r="Y27" s="40">
        <v>1.57</v>
      </c>
      <c r="Z27" s="40">
        <v>2.07</v>
      </c>
      <c r="AA27" s="40">
        <v>2.54</v>
      </c>
      <c r="AB27" s="40">
        <v>2.86</v>
      </c>
      <c r="AC27" s="40"/>
      <c r="AD27" s="102"/>
    </row>
    <row r="28" spans="2:30" ht="15" customHeight="1">
      <c r="B28" s="296"/>
      <c r="C28" s="31">
        <v>2.6</v>
      </c>
      <c r="D28" s="109">
        <v>4.5</v>
      </c>
      <c r="E28" s="106">
        <v>5.74</v>
      </c>
      <c r="F28" s="296"/>
      <c r="G28" s="31">
        <v>7.1</v>
      </c>
      <c r="H28" s="109">
        <v>28.3</v>
      </c>
      <c r="I28" s="106">
        <v>36</v>
      </c>
      <c r="K28" s="309"/>
      <c r="L28" s="65">
        <v>2</v>
      </c>
      <c r="M28" s="40">
        <v>4.16</v>
      </c>
      <c r="N28" s="102">
        <v>5.3</v>
      </c>
      <c r="O28" s="309"/>
      <c r="P28" s="65">
        <v>6.3</v>
      </c>
      <c r="Q28" s="40">
        <v>27.4</v>
      </c>
      <c r="R28" s="102">
        <v>34.8</v>
      </c>
      <c r="T28" s="309"/>
      <c r="U28" s="65">
        <v>25</v>
      </c>
      <c r="V28" s="314"/>
      <c r="W28" s="36"/>
      <c r="X28" s="36"/>
      <c r="Y28" s="40">
        <v>1.69</v>
      </c>
      <c r="Z28" s="40">
        <v>2.22</v>
      </c>
      <c r="AA28" s="40">
        <v>2.74</v>
      </c>
      <c r="AB28" s="40">
        <v>3.1</v>
      </c>
      <c r="AC28" s="40"/>
      <c r="AD28" s="102"/>
    </row>
    <row r="29" spans="2:30" ht="15" customHeight="1">
      <c r="B29" s="296"/>
      <c r="C29" s="31">
        <v>3.2</v>
      </c>
      <c r="D29" s="109">
        <v>5.43</v>
      </c>
      <c r="E29" s="106">
        <v>6.92</v>
      </c>
      <c r="F29" s="296"/>
      <c r="G29" s="31">
        <v>8</v>
      </c>
      <c r="H29" s="109">
        <v>31.4</v>
      </c>
      <c r="I29" s="106">
        <v>40</v>
      </c>
      <c r="K29" s="309"/>
      <c r="L29" s="65">
        <v>2.6</v>
      </c>
      <c r="M29" s="40">
        <v>5.32</v>
      </c>
      <c r="N29" s="102">
        <v>6.78</v>
      </c>
      <c r="O29" s="309"/>
      <c r="P29" s="65">
        <v>7.1</v>
      </c>
      <c r="Q29" s="40">
        <v>30.5</v>
      </c>
      <c r="R29" s="102">
        <v>38.9</v>
      </c>
      <c r="T29" s="309"/>
      <c r="U29" s="65">
        <v>30</v>
      </c>
      <c r="V29" s="314"/>
      <c r="W29" s="36"/>
      <c r="X29" s="36"/>
      <c r="Y29" s="40">
        <v>1.81</v>
      </c>
      <c r="Z29" s="40">
        <v>2.38</v>
      </c>
      <c r="AA29" s="40">
        <v>2.93</v>
      </c>
      <c r="AB29" s="40">
        <v>3.33</v>
      </c>
      <c r="AC29" s="40">
        <v>4.25</v>
      </c>
      <c r="AD29" s="102"/>
    </row>
    <row r="30" spans="2:30" ht="15" customHeight="1">
      <c r="B30" s="296"/>
      <c r="C30" s="31">
        <v>4</v>
      </c>
      <c r="D30" s="109">
        <v>6.6</v>
      </c>
      <c r="E30" s="106">
        <v>8.41</v>
      </c>
      <c r="F30" s="297"/>
      <c r="G30" s="31">
        <v>10</v>
      </c>
      <c r="H30" s="109">
        <v>38.1</v>
      </c>
      <c r="I30" s="106">
        <v>48.6</v>
      </c>
      <c r="K30" s="309"/>
      <c r="L30" s="65">
        <v>3.2</v>
      </c>
      <c r="M30" s="40">
        <v>6.44</v>
      </c>
      <c r="N30" s="102">
        <v>8.2</v>
      </c>
      <c r="O30" s="309"/>
      <c r="P30" s="65">
        <v>8</v>
      </c>
      <c r="Q30" s="40">
        <v>33.9</v>
      </c>
      <c r="R30" s="102">
        <v>43.2</v>
      </c>
      <c r="T30" s="309"/>
      <c r="U30" s="65">
        <v>34</v>
      </c>
      <c r="V30" s="314"/>
      <c r="W30" s="36"/>
      <c r="X30" s="36"/>
      <c r="Y30" s="40">
        <v>1.9</v>
      </c>
      <c r="Z30" s="40">
        <v>2.51</v>
      </c>
      <c r="AA30" s="40">
        <v>3.09</v>
      </c>
      <c r="AB30" s="40">
        <v>3.52</v>
      </c>
      <c r="AC30" s="40">
        <v>4.5</v>
      </c>
      <c r="AD30" s="102"/>
    </row>
    <row r="31" spans="2:30" ht="15" customHeight="1">
      <c r="B31" s="297"/>
      <c r="C31" s="31">
        <v>5</v>
      </c>
      <c r="D31" s="109">
        <v>7.96</v>
      </c>
      <c r="E31" s="106">
        <v>10.1</v>
      </c>
      <c r="F31" s="295" t="s">
        <v>275</v>
      </c>
      <c r="G31" s="31">
        <v>4</v>
      </c>
      <c r="H31" s="109">
        <v>17.9</v>
      </c>
      <c r="I31" s="106">
        <v>22.8</v>
      </c>
      <c r="K31" s="309"/>
      <c r="L31" s="65">
        <v>4</v>
      </c>
      <c r="M31" s="40">
        <v>7.86</v>
      </c>
      <c r="N31" s="102">
        <v>10</v>
      </c>
      <c r="O31" s="310"/>
      <c r="P31" s="65">
        <v>10</v>
      </c>
      <c r="Q31" s="40">
        <v>41.3</v>
      </c>
      <c r="R31" s="102">
        <v>52.6</v>
      </c>
      <c r="T31" s="309"/>
      <c r="U31" s="65">
        <v>40</v>
      </c>
      <c r="V31" s="314"/>
      <c r="W31" s="36"/>
      <c r="X31" s="36"/>
      <c r="Y31" s="40">
        <v>2.05</v>
      </c>
      <c r="Z31" s="40">
        <v>2.69</v>
      </c>
      <c r="AA31" s="40">
        <v>3.33</v>
      </c>
      <c r="AB31" s="40">
        <v>3.8</v>
      </c>
      <c r="AC31" s="40">
        <v>4.88</v>
      </c>
      <c r="AD31" s="102"/>
    </row>
    <row r="32" spans="2:30" ht="15" customHeight="1">
      <c r="B32" s="295" t="s">
        <v>267</v>
      </c>
      <c r="C32" s="31">
        <v>1.6</v>
      </c>
      <c r="D32" s="109">
        <v>3.37</v>
      </c>
      <c r="E32" s="106">
        <v>4.29</v>
      </c>
      <c r="F32" s="296"/>
      <c r="G32" s="31">
        <v>5</v>
      </c>
      <c r="H32" s="109">
        <v>22.1</v>
      </c>
      <c r="I32" s="106">
        <v>28.1</v>
      </c>
      <c r="K32" s="310"/>
      <c r="L32" s="65">
        <v>5</v>
      </c>
      <c r="M32" s="40">
        <v>9.53</v>
      </c>
      <c r="N32" s="102">
        <v>12.1</v>
      </c>
      <c r="O32" s="308" t="s">
        <v>294</v>
      </c>
      <c r="P32" s="65">
        <v>4</v>
      </c>
      <c r="Q32" s="40">
        <v>19.2</v>
      </c>
      <c r="R32" s="102">
        <v>24.4</v>
      </c>
      <c r="T32" s="310"/>
      <c r="U32" s="65">
        <v>50</v>
      </c>
      <c r="V32" s="315"/>
      <c r="W32" s="36"/>
      <c r="X32" s="36"/>
      <c r="Y32" s="40">
        <v>2.28</v>
      </c>
      <c r="Z32" s="40">
        <v>3.01</v>
      </c>
      <c r="AA32" s="40">
        <v>3.72</v>
      </c>
      <c r="AB32" s="40">
        <v>4.28</v>
      </c>
      <c r="AC32" s="40">
        <v>5.51</v>
      </c>
      <c r="AD32" s="102"/>
    </row>
    <row r="33" spans="2:30" ht="15" customHeight="1">
      <c r="B33" s="296"/>
      <c r="C33" s="31">
        <v>2</v>
      </c>
      <c r="D33" s="109">
        <v>4.16</v>
      </c>
      <c r="E33" s="106">
        <v>5.3</v>
      </c>
      <c r="F33" s="296"/>
      <c r="G33" s="31">
        <v>6.3</v>
      </c>
      <c r="H33" s="109">
        <v>27.4</v>
      </c>
      <c r="I33" s="106">
        <v>34.8</v>
      </c>
      <c r="K33" s="308" t="s">
        <v>287</v>
      </c>
      <c r="L33" s="65">
        <v>2</v>
      </c>
      <c r="M33" s="40">
        <v>4.79</v>
      </c>
      <c r="N33" s="102">
        <v>6.1</v>
      </c>
      <c r="O33" s="309"/>
      <c r="P33" s="65">
        <v>5</v>
      </c>
      <c r="Q33" s="40">
        <v>23.7</v>
      </c>
      <c r="R33" s="102">
        <v>30.1</v>
      </c>
      <c r="T33" s="14">
        <v>55</v>
      </c>
      <c r="U33" s="65">
        <v>34</v>
      </c>
      <c r="V33" s="122" t="s">
        <v>302</v>
      </c>
      <c r="W33" s="36"/>
      <c r="X33" s="36"/>
      <c r="Y33" s="40">
        <v>2.02</v>
      </c>
      <c r="Z33" s="40">
        <v>2.66</v>
      </c>
      <c r="AA33" s="40">
        <v>3.29</v>
      </c>
      <c r="AB33" s="40">
        <v>3.76</v>
      </c>
      <c r="AC33" s="40">
        <v>4.82</v>
      </c>
      <c r="AD33" s="102"/>
    </row>
    <row r="34" spans="2:30" ht="15" customHeight="1">
      <c r="B34" s="296"/>
      <c r="C34" s="31">
        <v>2.6</v>
      </c>
      <c r="D34" s="109">
        <v>5.32</v>
      </c>
      <c r="E34" s="106">
        <v>6.78</v>
      </c>
      <c r="F34" s="296"/>
      <c r="G34" s="31">
        <v>7.1</v>
      </c>
      <c r="H34" s="109">
        <v>30.5</v>
      </c>
      <c r="I34" s="106">
        <v>38.9</v>
      </c>
      <c r="K34" s="309"/>
      <c r="L34" s="65">
        <v>2.6</v>
      </c>
      <c r="M34" s="40">
        <v>6.14</v>
      </c>
      <c r="N34" s="102">
        <v>7.82</v>
      </c>
      <c r="O34" s="309"/>
      <c r="P34" s="65">
        <v>6.3</v>
      </c>
      <c r="Q34" s="40">
        <v>29.3</v>
      </c>
      <c r="R34" s="102">
        <v>37.4</v>
      </c>
      <c r="T34" s="308">
        <v>60</v>
      </c>
      <c r="U34" s="65">
        <v>20</v>
      </c>
      <c r="V34" s="289" t="s">
        <v>302</v>
      </c>
      <c r="W34" s="36"/>
      <c r="X34" s="36"/>
      <c r="Y34" s="40"/>
      <c r="Z34" s="40">
        <v>2.38</v>
      </c>
      <c r="AA34" s="40">
        <v>2.93</v>
      </c>
      <c r="AB34" s="40">
        <v>3.33</v>
      </c>
      <c r="AC34" s="40"/>
      <c r="AD34" s="102"/>
    </row>
    <row r="35" spans="2:30" ht="15" customHeight="1">
      <c r="B35" s="296"/>
      <c r="C35" s="31">
        <v>3.2</v>
      </c>
      <c r="D35" s="109">
        <v>6.44</v>
      </c>
      <c r="E35" s="106">
        <v>8.2</v>
      </c>
      <c r="F35" s="296"/>
      <c r="G35" s="31">
        <v>8</v>
      </c>
      <c r="H35" s="109">
        <v>33.9</v>
      </c>
      <c r="I35" s="106">
        <v>43.2</v>
      </c>
      <c r="K35" s="309"/>
      <c r="L35" s="65">
        <v>3.2</v>
      </c>
      <c r="M35" s="40">
        <v>7.44</v>
      </c>
      <c r="N35" s="102">
        <v>9.48</v>
      </c>
      <c r="O35" s="309"/>
      <c r="P35" s="65">
        <v>7.1</v>
      </c>
      <c r="Q35" s="40">
        <v>32.7</v>
      </c>
      <c r="R35" s="102">
        <v>41.7</v>
      </c>
      <c r="T35" s="309"/>
      <c r="U35" s="65">
        <v>30</v>
      </c>
      <c r="V35" s="290"/>
      <c r="W35" s="36"/>
      <c r="X35" s="36"/>
      <c r="Y35" s="40"/>
      <c r="Z35" s="40">
        <v>2.69</v>
      </c>
      <c r="AA35" s="40">
        <v>3.33</v>
      </c>
      <c r="AB35" s="40">
        <v>3.8</v>
      </c>
      <c r="AC35" s="40">
        <v>4.88</v>
      </c>
      <c r="AD35" s="102"/>
    </row>
    <row r="36" spans="2:30" ht="15" customHeight="1">
      <c r="B36" s="296"/>
      <c r="C36" s="31">
        <v>4</v>
      </c>
      <c r="D36" s="109">
        <v>7.86</v>
      </c>
      <c r="E36" s="106">
        <v>10</v>
      </c>
      <c r="F36" s="297"/>
      <c r="G36" s="31">
        <v>10</v>
      </c>
      <c r="H36" s="109">
        <v>41.3</v>
      </c>
      <c r="I36" s="106">
        <v>52.6</v>
      </c>
      <c r="K36" s="309"/>
      <c r="L36" s="65">
        <v>4</v>
      </c>
      <c r="M36" s="40">
        <v>9.11</v>
      </c>
      <c r="N36" s="102">
        <v>11.6</v>
      </c>
      <c r="O36" s="309"/>
      <c r="P36" s="65">
        <v>8</v>
      </c>
      <c r="Q36" s="40">
        <v>36.5</v>
      </c>
      <c r="R36" s="102">
        <v>46.4</v>
      </c>
      <c r="T36" s="309"/>
      <c r="U36" s="65">
        <v>40</v>
      </c>
      <c r="V36" s="290"/>
      <c r="W36" s="36"/>
      <c r="X36" s="36"/>
      <c r="Y36" s="40"/>
      <c r="Z36" s="40">
        <v>3.01</v>
      </c>
      <c r="AA36" s="40">
        <v>3.72</v>
      </c>
      <c r="AB36" s="40">
        <v>4.28</v>
      </c>
      <c r="AC36" s="40">
        <v>5.51</v>
      </c>
      <c r="AD36" s="102"/>
    </row>
    <row r="37" spans="2:30" ht="15" customHeight="1">
      <c r="B37" s="296"/>
      <c r="C37" s="31">
        <v>5</v>
      </c>
      <c r="D37" s="109">
        <v>9.53</v>
      </c>
      <c r="E37" s="106">
        <v>12.1</v>
      </c>
      <c r="F37" s="295" t="s">
        <v>276</v>
      </c>
      <c r="G37" s="31">
        <v>4</v>
      </c>
      <c r="H37" s="109">
        <v>19.2</v>
      </c>
      <c r="I37" s="106">
        <v>24.4</v>
      </c>
      <c r="K37" s="310"/>
      <c r="L37" s="65">
        <v>5</v>
      </c>
      <c r="M37" s="40">
        <v>11.1</v>
      </c>
      <c r="N37" s="102">
        <v>14.1</v>
      </c>
      <c r="O37" s="310"/>
      <c r="P37" s="65">
        <v>10</v>
      </c>
      <c r="Q37" s="40">
        <v>44.4</v>
      </c>
      <c r="R37" s="102">
        <v>56.6</v>
      </c>
      <c r="T37" s="309"/>
      <c r="U37" s="65">
        <v>50</v>
      </c>
      <c r="V37" s="290"/>
      <c r="W37" s="36"/>
      <c r="X37" s="36"/>
      <c r="Y37" s="40"/>
      <c r="Z37" s="40">
        <v>3.32</v>
      </c>
      <c r="AA37" s="40">
        <v>4.11</v>
      </c>
      <c r="AB37" s="40">
        <v>4.75</v>
      </c>
      <c r="AC37" s="40">
        <v>6.14</v>
      </c>
      <c r="AD37" s="102"/>
    </row>
    <row r="38" spans="2:30" ht="15" customHeight="1">
      <c r="B38" s="295" t="s">
        <v>268</v>
      </c>
      <c r="C38" s="31">
        <v>2</v>
      </c>
      <c r="D38" s="109">
        <v>4.79</v>
      </c>
      <c r="E38" s="106">
        <v>6.1</v>
      </c>
      <c r="F38" s="296"/>
      <c r="G38" s="31">
        <v>5</v>
      </c>
      <c r="H38" s="109">
        <v>23.7</v>
      </c>
      <c r="I38" s="106">
        <v>30.1</v>
      </c>
      <c r="K38" s="308" t="s">
        <v>288</v>
      </c>
      <c r="L38" s="65">
        <v>2</v>
      </c>
      <c r="M38" s="40">
        <v>5.42</v>
      </c>
      <c r="N38" s="102">
        <v>6.9</v>
      </c>
      <c r="O38" s="308" t="s">
        <v>295</v>
      </c>
      <c r="P38" s="65">
        <v>4</v>
      </c>
      <c r="Q38" s="40">
        <v>21.7</v>
      </c>
      <c r="R38" s="102">
        <v>27.6</v>
      </c>
      <c r="T38" s="310"/>
      <c r="U38" s="65">
        <v>60</v>
      </c>
      <c r="V38" s="298"/>
      <c r="W38" s="36"/>
      <c r="X38" s="36"/>
      <c r="Y38" s="40"/>
      <c r="Z38" s="40">
        <v>3.64</v>
      </c>
      <c r="AA38" s="40">
        <v>4.5</v>
      </c>
      <c r="AB38" s="40">
        <v>5.22</v>
      </c>
      <c r="AC38" s="40">
        <v>6.76</v>
      </c>
      <c r="AD38" s="102">
        <v>8.13</v>
      </c>
    </row>
    <row r="39" spans="2:30" ht="15" customHeight="1">
      <c r="B39" s="296"/>
      <c r="C39" s="31">
        <v>2.6</v>
      </c>
      <c r="D39" s="109">
        <v>6.14</v>
      </c>
      <c r="E39" s="106">
        <v>7.82</v>
      </c>
      <c r="F39" s="296"/>
      <c r="G39" s="31">
        <v>6.3</v>
      </c>
      <c r="H39" s="109">
        <v>29.3</v>
      </c>
      <c r="I39" s="106">
        <v>37.4</v>
      </c>
      <c r="K39" s="309"/>
      <c r="L39" s="65">
        <v>2.6</v>
      </c>
      <c r="M39" s="40">
        <v>6.95</v>
      </c>
      <c r="N39" s="102">
        <v>8.86</v>
      </c>
      <c r="O39" s="309"/>
      <c r="P39" s="65">
        <v>5</v>
      </c>
      <c r="Q39" s="40">
        <v>26.8</v>
      </c>
      <c r="R39" s="102">
        <v>34.1</v>
      </c>
      <c r="T39" s="308">
        <v>70</v>
      </c>
      <c r="U39" s="65">
        <v>40</v>
      </c>
      <c r="V39" s="313" t="s">
        <v>303</v>
      </c>
      <c r="W39" s="36"/>
      <c r="X39" s="36"/>
      <c r="Y39" s="40"/>
      <c r="Z39" s="40">
        <v>3.32</v>
      </c>
      <c r="AA39" s="40">
        <v>4.11</v>
      </c>
      <c r="AB39" s="40">
        <v>4.75</v>
      </c>
      <c r="AC39" s="40">
        <v>6.14</v>
      </c>
      <c r="AD39" s="102"/>
    </row>
    <row r="40" spans="2:30" ht="15" customHeight="1">
      <c r="B40" s="296"/>
      <c r="C40" s="31">
        <v>3.2</v>
      </c>
      <c r="D40" s="109">
        <v>7.44</v>
      </c>
      <c r="E40" s="106">
        <v>9.48</v>
      </c>
      <c r="F40" s="296"/>
      <c r="G40" s="31">
        <v>7.1</v>
      </c>
      <c r="H40" s="109">
        <v>32.7</v>
      </c>
      <c r="I40" s="106">
        <v>41.7</v>
      </c>
      <c r="K40" s="309"/>
      <c r="L40" s="65">
        <v>3.2</v>
      </c>
      <c r="M40" s="40">
        <v>8.45</v>
      </c>
      <c r="N40" s="102">
        <v>10.8</v>
      </c>
      <c r="O40" s="309"/>
      <c r="P40" s="65">
        <v>6.3</v>
      </c>
      <c r="Q40" s="40">
        <v>33.3</v>
      </c>
      <c r="R40" s="102">
        <v>42.4</v>
      </c>
      <c r="T40" s="310"/>
      <c r="U40" s="65">
        <v>70</v>
      </c>
      <c r="V40" s="298"/>
      <c r="W40" s="36"/>
      <c r="X40" s="36"/>
      <c r="Y40" s="40"/>
      <c r="Z40" s="40">
        <v>4.26</v>
      </c>
      <c r="AA40" s="40">
        <v>5.29</v>
      </c>
      <c r="AB40" s="40">
        <v>6.16</v>
      </c>
      <c r="AC40" s="40">
        <v>8.02</v>
      </c>
      <c r="AD40" s="102">
        <v>9.7</v>
      </c>
    </row>
    <row r="41" spans="2:30" ht="15" customHeight="1">
      <c r="B41" s="296"/>
      <c r="C41" s="31">
        <v>4</v>
      </c>
      <c r="D41" s="109">
        <v>9.11</v>
      </c>
      <c r="E41" s="106">
        <v>11.6</v>
      </c>
      <c r="F41" s="296"/>
      <c r="G41" s="31">
        <v>8</v>
      </c>
      <c r="H41" s="109">
        <v>36.5</v>
      </c>
      <c r="I41" s="106">
        <v>46.4</v>
      </c>
      <c r="K41" s="309"/>
      <c r="L41" s="65">
        <v>4</v>
      </c>
      <c r="M41" s="40">
        <v>10.4</v>
      </c>
      <c r="N41" s="102">
        <v>13.2</v>
      </c>
      <c r="O41" s="309"/>
      <c r="P41" s="65">
        <v>7.1</v>
      </c>
      <c r="Q41" s="40">
        <v>37.2</v>
      </c>
      <c r="R41" s="102">
        <v>47.4</v>
      </c>
      <c r="T41" s="308">
        <v>80</v>
      </c>
      <c r="U41" s="65">
        <v>20</v>
      </c>
      <c r="V41" s="313" t="s">
        <v>303</v>
      </c>
      <c r="W41" s="36"/>
      <c r="X41" s="36"/>
      <c r="Y41" s="40"/>
      <c r="Z41" s="40">
        <v>3.01</v>
      </c>
      <c r="AA41" s="40">
        <v>3.72</v>
      </c>
      <c r="AB41" s="40">
        <v>4.28</v>
      </c>
      <c r="AC41" s="40"/>
      <c r="AD41" s="102"/>
    </row>
    <row r="42" spans="2:30" ht="15" customHeight="1">
      <c r="B42" s="297"/>
      <c r="C42" s="31">
        <v>5</v>
      </c>
      <c r="D42" s="109">
        <v>11.1</v>
      </c>
      <c r="E42" s="106">
        <v>14.1</v>
      </c>
      <c r="F42" s="297"/>
      <c r="G42" s="31">
        <v>10</v>
      </c>
      <c r="H42" s="109">
        <v>44.4</v>
      </c>
      <c r="I42" s="106">
        <v>56.6</v>
      </c>
      <c r="K42" s="309"/>
      <c r="L42" s="65">
        <v>5</v>
      </c>
      <c r="M42" s="40">
        <v>12.7</v>
      </c>
      <c r="N42" s="102">
        <v>16.1</v>
      </c>
      <c r="O42" s="309"/>
      <c r="P42" s="65">
        <v>8</v>
      </c>
      <c r="Q42" s="40">
        <v>41.5</v>
      </c>
      <c r="R42" s="102">
        <v>52.8</v>
      </c>
      <c r="T42" s="309"/>
      <c r="U42" s="65">
        <v>30</v>
      </c>
      <c r="V42" s="314"/>
      <c r="W42" s="36"/>
      <c r="X42" s="36"/>
      <c r="Y42" s="40"/>
      <c r="Z42" s="40">
        <v>3.32</v>
      </c>
      <c r="AA42" s="40">
        <v>4.11</v>
      </c>
      <c r="AB42" s="40">
        <v>4.75</v>
      </c>
      <c r="AC42" s="40"/>
      <c r="AD42" s="102"/>
    </row>
    <row r="43" spans="2:30" ht="15" customHeight="1">
      <c r="B43" s="295" t="s">
        <v>269</v>
      </c>
      <c r="C43" s="31">
        <v>2</v>
      </c>
      <c r="D43" s="109">
        <v>5.42</v>
      </c>
      <c r="E43" s="106">
        <v>6.9</v>
      </c>
      <c r="F43" s="295" t="s">
        <v>277</v>
      </c>
      <c r="G43" s="31">
        <v>4</v>
      </c>
      <c r="H43" s="109">
        <v>21</v>
      </c>
      <c r="I43" s="106">
        <v>26.8</v>
      </c>
      <c r="K43" s="310"/>
      <c r="L43" s="65">
        <v>6.3</v>
      </c>
      <c r="M43" s="40">
        <v>15.5</v>
      </c>
      <c r="N43" s="102">
        <v>19.7</v>
      </c>
      <c r="O43" s="310"/>
      <c r="P43" s="65">
        <v>10</v>
      </c>
      <c r="Q43" s="40">
        <v>50.7</v>
      </c>
      <c r="R43" s="102">
        <v>64.6</v>
      </c>
      <c r="T43" s="309"/>
      <c r="U43" s="65">
        <v>40</v>
      </c>
      <c r="V43" s="314"/>
      <c r="W43" s="36"/>
      <c r="X43" s="36"/>
      <c r="Y43" s="40"/>
      <c r="Z43" s="40">
        <v>3.64</v>
      </c>
      <c r="AA43" s="40">
        <v>4.5</v>
      </c>
      <c r="AB43" s="40">
        <v>5.22</v>
      </c>
      <c r="AC43" s="40">
        <v>6.76</v>
      </c>
      <c r="AD43" s="102">
        <v>8.13</v>
      </c>
    </row>
    <row r="44" spans="2:30" ht="15" customHeight="1">
      <c r="B44" s="296"/>
      <c r="C44" s="31">
        <v>2.6</v>
      </c>
      <c r="D44" s="109">
        <v>6.95</v>
      </c>
      <c r="E44" s="106">
        <v>8.86</v>
      </c>
      <c r="F44" s="296"/>
      <c r="G44" s="31">
        <v>5</v>
      </c>
      <c r="H44" s="109">
        <v>26</v>
      </c>
      <c r="I44" s="106">
        <v>33.1</v>
      </c>
      <c r="K44" s="308" t="s">
        <v>289</v>
      </c>
      <c r="L44" s="65">
        <v>2.6</v>
      </c>
      <c r="M44" s="40">
        <v>7.77</v>
      </c>
      <c r="N44" s="102">
        <v>9.9</v>
      </c>
      <c r="O44" s="308" t="s">
        <v>295</v>
      </c>
      <c r="P44" s="65">
        <v>4</v>
      </c>
      <c r="Q44" s="40">
        <v>24.2</v>
      </c>
      <c r="R44" s="102">
        <v>30.8</v>
      </c>
      <c r="T44" s="309"/>
      <c r="U44" s="65">
        <v>50</v>
      </c>
      <c r="V44" s="314"/>
      <c r="W44" s="36"/>
      <c r="X44" s="36"/>
      <c r="Y44" s="40"/>
      <c r="Z44" s="40">
        <v>3.95</v>
      </c>
      <c r="AA44" s="40">
        <v>4.9</v>
      </c>
      <c r="AB44" s="40">
        <v>5.69</v>
      </c>
      <c r="AC44" s="40">
        <v>7.39</v>
      </c>
      <c r="AD44" s="102">
        <v>8.91</v>
      </c>
    </row>
    <row r="45" spans="2:30" ht="15" customHeight="1">
      <c r="B45" s="296"/>
      <c r="C45" s="31">
        <v>3.2</v>
      </c>
      <c r="D45" s="109">
        <v>8.45</v>
      </c>
      <c r="E45" s="106">
        <v>10.8</v>
      </c>
      <c r="F45" s="296"/>
      <c r="G45" s="31">
        <v>6.3</v>
      </c>
      <c r="H45" s="109">
        <v>32.3</v>
      </c>
      <c r="I45" s="106">
        <v>41.1</v>
      </c>
      <c r="K45" s="309"/>
      <c r="L45" s="65">
        <v>3.2</v>
      </c>
      <c r="M45" s="40">
        <v>9.45</v>
      </c>
      <c r="N45" s="102">
        <v>12</v>
      </c>
      <c r="O45" s="309"/>
      <c r="P45" s="65">
        <v>5</v>
      </c>
      <c r="Q45" s="40">
        <v>29.9</v>
      </c>
      <c r="R45" s="102">
        <v>38.1</v>
      </c>
      <c r="T45" s="309"/>
      <c r="U45" s="65">
        <v>60</v>
      </c>
      <c r="V45" s="314"/>
      <c r="W45" s="36"/>
      <c r="X45" s="36"/>
      <c r="Y45" s="40"/>
      <c r="Z45" s="40">
        <v>4.26</v>
      </c>
      <c r="AA45" s="40">
        <v>5.29</v>
      </c>
      <c r="AB45" s="40">
        <v>6.16</v>
      </c>
      <c r="AC45" s="40">
        <v>8.02</v>
      </c>
      <c r="AD45" s="102">
        <v>9.7</v>
      </c>
    </row>
    <row r="46" spans="2:30" ht="15" customHeight="1">
      <c r="B46" s="296"/>
      <c r="C46" s="31">
        <v>4</v>
      </c>
      <c r="D46" s="109">
        <v>10.4</v>
      </c>
      <c r="E46" s="106">
        <v>13.2</v>
      </c>
      <c r="F46" s="296"/>
      <c r="G46" s="31">
        <v>7.1</v>
      </c>
      <c r="H46" s="109">
        <v>36.1</v>
      </c>
      <c r="I46" s="106">
        <v>46</v>
      </c>
      <c r="K46" s="309"/>
      <c r="L46" s="65">
        <v>4</v>
      </c>
      <c r="M46" s="40">
        <v>11.6</v>
      </c>
      <c r="N46" s="102">
        <v>14.8</v>
      </c>
      <c r="O46" s="309"/>
      <c r="P46" s="65">
        <v>6.3</v>
      </c>
      <c r="Q46" s="40">
        <v>37.2</v>
      </c>
      <c r="R46" s="102">
        <v>47.4</v>
      </c>
      <c r="T46" s="310"/>
      <c r="U46" s="65">
        <v>80</v>
      </c>
      <c r="V46" s="315"/>
      <c r="W46" s="36"/>
      <c r="X46" s="36"/>
      <c r="Y46" s="40"/>
      <c r="Z46" s="40">
        <v>4.89</v>
      </c>
      <c r="AA46" s="40">
        <v>6.07</v>
      </c>
      <c r="AB46" s="40">
        <v>7.1</v>
      </c>
      <c r="AC46" s="40">
        <v>9.28</v>
      </c>
      <c r="AD46" s="102">
        <v>11.3</v>
      </c>
    </row>
    <row r="47" spans="2:30" ht="15" customHeight="1">
      <c r="B47" s="296"/>
      <c r="C47" s="31">
        <v>5</v>
      </c>
      <c r="D47" s="109">
        <v>12.7</v>
      </c>
      <c r="E47" s="106">
        <v>16.1</v>
      </c>
      <c r="F47" s="296"/>
      <c r="G47" s="31">
        <v>8</v>
      </c>
      <c r="H47" s="109">
        <v>40.2</v>
      </c>
      <c r="I47" s="106">
        <v>51.2</v>
      </c>
      <c r="K47" s="309"/>
      <c r="L47" s="65">
        <v>5</v>
      </c>
      <c r="M47" s="40">
        <v>14.2</v>
      </c>
      <c r="N47" s="102">
        <v>18.1</v>
      </c>
      <c r="O47" s="309"/>
      <c r="P47" s="65">
        <v>7.1</v>
      </c>
      <c r="Q47" s="40">
        <v>41.6</v>
      </c>
      <c r="R47" s="102">
        <v>53.1</v>
      </c>
      <c r="T47" s="14">
        <v>90</v>
      </c>
      <c r="U47" s="65">
        <v>90</v>
      </c>
      <c r="V47" s="122" t="s">
        <v>304</v>
      </c>
      <c r="W47" s="36"/>
      <c r="X47" s="36"/>
      <c r="Y47" s="40"/>
      <c r="Z47" s="40">
        <v>5.52</v>
      </c>
      <c r="AA47" s="40">
        <v>6.86</v>
      </c>
      <c r="AB47" s="40">
        <v>8.04</v>
      </c>
      <c r="AC47" s="40">
        <v>10.5</v>
      </c>
      <c r="AD47" s="102">
        <v>12.8</v>
      </c>
    </row>
    <row r="48" spans="2:30" ht="15" customHeight="1">
      <c r="B48" s="297"/>
      <c r="C48" s="31">
        <v>6.3</v>
      </c>
      <c r="D48" s="109">
        <v>15.5</v>
      </c>
      <c r="E48" s="106">
        <v>19.7</v>
      </c>
      <c r="F48" s="297"/>
      <c r="G48" s="31">
        <v>10</v>
      </c>
      <c r="H48" s="109">
        <v>49.1</v>
      </c>
      <c r="I48" s="106">
        <v>62.6</v>
      </c>
      <c r="K48" s="309"/>
      <c r="L48" s="65">
        <v>6.3</v>
      </c>
      <c r="M48" s="40">
        <v>17.5</v>
      </c>
      <c r="N48" s="102">
        <v>22.2</v>
      </c>
      <c r="O48" s="309"/>
      <c r="P48" s="65">
        <v>8</v>
      </c>
      <c r="Q48" s="40">
        <v>46.5</v>
      </c>
      <c r="R48" s="102">
        <v>59.2</v>
      </c>
      <c r="T48" s="308">
        <v>100</v>
      </c>
      <c r="U48" s="65">
        <v>40</v>
      </c>
      <c r="V48" s="313" t="s">
        <v>305</v>
      </c>
      <c r="W48" s="36"/>
      <c r="X48" s="36"/>
      <c r="Y48" s="40"/>
      <c r="Z48" s="40">
        <v>4.26</v>
      </c>
      <c r="AA48" s="40">
        <v>5.29</v>
      </c>
      <c r="AB48" s="40">
        <v>6.16</v>
      </c>
      <c r="AC48" s="40">
        <v>8.02</v>
      </c>
      <c r="AD48" s="102">
        <v>9.7</v>
      </c>
    </row>
    <row r="49" spans="2:30" ht="15" customHeight="1">
      <c r="B49" s="295" t="s">
        <v>270</v>
      </c>
      <c r="C49" s="31">
        <v>2.6</v>
      </c>
      <c r="D49" s="109">
        <v>7.77</v>
      </c>
      <c r="E49" s="106">
        <v>9.9</v>
      </c>
      <c r="F49" s="311" t="s">
        <v>278</v>
      </c>
      <c r="G49" s="31">
        <v>4</v>
      </c>
      <c r="H49" s="109">
        <v>21.7</v>
      </c>
      <c r="I49" s="106">
        <v>27.6</v>
      </c>
      <c r="K49" s="310"/>
      <c r="L49" s="65">
        <v>7.1</v>
      </c>
      <c r="M49" s="40">
        <v>19.4</v>
      </c>
      <c r="N49" s="102">
        <v>24.7</v>
      </c>
      <c r="O49" s="309"/>
      <c r="P49" s="65">
        <v>10</v>
      </c>
      <c r="Q49" s="40">
        <v>57</v>
      </c>
      <c r="R49" s="102">
        <v>72.6</v>
      </c>
      <c r="T49" s="309"/>
      <c r="U49" s="65">
        <v>50</v>
      </c>
      <c r="V49" s="314"/>
      <c r="W49" s="36"/>
      <c r="X49" s="36"/>
      <c r="Y49" s="40"/>
      <c r="Z49" s="40">
        <v>4.58</v>
      </c>
      <c r="AA49" s="40">
        <v>5.68</v>
      </c>
      <c r="AB49" s="40">
        <v>6.63</v>
      </c>
      <c r="AC49" s="40">
        <v>8.65</v>
      </c>
      <c r="AD49" s="102">
        <v>10.5</v>
      </c>
    </row>
    <row r="50" spans="2:30" ht="15" customHeight="1">
      <c r="B50" s="296"/>
      <c r="C50" s="31">
        <v>3.2</v>
      </c>
      <c r="D50" s="109">
        <v>9.45</v>
      </c>
      <c r="E50" s="106">
        <v>12</v>
      </c>
      <c r="F50" s="311"/>
      <c r="G50" s="31">
        <v>5</v>
      </c>
      <c r="H50" s="109">
        <v>26.8</v>
      </c>
      <c r="I50" s="106">
        <v>34.1</v>
      </c>
      <c r="K50" s="308" t="s">
        <v>290</v>
      </c>
      <c r="L50" s="65">
        <v>3.2</v>
      </c>
      <c r="M50" s="40">
        <v>11</v>
      </c>
      <c r="N50" s="102">
        <v>14</v>
      </c>
      <c r="O50" s="310"/>
      <c r="P50" s="65">
        <v>12.5</v>
      </c>
      <c r="Q50" s="40">
        <v>69.4</v>
      </c>
      <c r="R50" s="102">
        <v>88.4</v>
      </c>
      <c r="T50" s="309"/>
      <c r="U50" s="65">
        <v>60</v>
      </c>
      <c r="V50" s="314"/>
      <c r="W50" s="36"/>
      <c r="X50" s="36"/>
      <c r="Y50" s="40"/>
      <c r="Z50" s="40">
        <v>4.89</v>
      </c>
      <c r="AA50" s="40">
        <v>6.07</v>
      </c>
      <c r="AB50" s="40">
        <v>7.1</v>
      </c>
      <c r="AC50" s="40">
        <v>9.28</v>
      </c>
      <c r="AD50" s="102">
        <v>11.3</v>
      </c>
    </row>
    <row r="51" spans="2:30" ht="15" customHeight="1">
      <c r="B51" s="296"/>
      <c r="C51" s="31">
        <v>4</v>
      </c>
      <c r="D51" s="109">
        <v>10.6</v>
      </c>
      <c r="E51" s="106">
        <v>14.8</v>
      </c>
      <c r="F51" s="311"/>
      <c r="G51" s="31">
        <v>6.3</v>
      </c>
      <c r="H51" s="109">
        <v>33.3</v>
      </c>
      <c r="I51" s="106">
        <v>42.4</v>
      </c>
      <c r="K51" s="309"/>
      <c r="L51" s="65">
        <v>4</v>
      </c>
      <c r="M51" s="40">
        <v>13.5</v>
      </c>
      <c r="N51" s="102">
        <v>17.2</v>
      </c>
      <c r="O51" s="32"/>
      <c r="P51" s="123"/>
      <c r="Q51" s="123"/>
      <c r="R51" s="124"/>
      <c r="T51" s="309"/>
      <c r="U51" s="65">
        <v>80</v>
      </c>
      <c r="V51" s="314"/>
      <c r="W51" s="36"/>
      <c r="X51" s="36"/>
      <c r="Y51" s="40"/>
      <c r="Z51" s="40">
        <v>5.52</v>
      </c>
      <c r="AA51" s="40">
        <v>6.86</v>
      </c>
      <c r="AB51" s="40">
        <v>8.04</v>
      </c>
      <c r="AC51" s="40">
        <v>10.5</v>
      </c>
      <c r="AD51" s="102">
        <v>12.8</v>
      </c>
    </row>
    <row r="52" spans="2:30" ht="15" customHeight="1">
      <c r="B52" s="296"/>
      <c r="C52" s="31">
        <v>5</v>
      </c>
      <c r="D52" s="109">
        <v>14.2</v>
      </c>
      <c r="E52" s="106">
        <v>18.1</v>
      </c>
      <c r="F52" s="311"/>
      <c r="G52" s="31">
        <v>7.1</v>
      </c>
      <c r="H52" s="109">
        <v>37.2</v>
      </c>
      <c r="I52" s="106">
        <v>47.4</v>
      </c>
      <c r="K52" s="309"/>
      <c r="L52" s="65">
        <v>5</v>
      </c>
      <c r="M52" s="40">
        <v>16.6</v>
      </c>
      <c r="N52" s="102">
        <v>21.1</v>
      </c>
      <c r="O52" s="125"/>
      <c r="P52" s="126"/>
      <c r="Q52" s="126"/>
      <c r="R52" s="127"/>
      <c r="T52" s="310"/>
      <c r="U52" s="65">
        <v>100</v>
      </c>
      <c r="V52" s="315"/>
      <c r="W52" s="36"/>
      <c r="X52" s="36"/>
      <c r="Y52" s="40"/>
      <c r="Z52" s="40">
        <v>6.15</v>
      </c>
      <c r="AA52" s="40">
        <v>7.64</v>
      </c>
      <c r="AB52" s="40">
        <v>8.99</v>
      </c>
      <c r="AC52" s="40">
        <v>11.8</v>
      </c>
      <c r="AD52" s="102">
        <v>14.4</v>
      </c>
    </row>
    <row r="53" spans="2:30" ht="15" customHeight="1">
      <c r="B53" s="296"/>
      <c r="C53" s="31">
        <v>6.3</v>
      </c>
      <c r="D53" s="109">
        <v>17.5</v>
      </c>
      <c r="E53" s="106">
        <v>22.2</v>
      </c>
      <c r="F53" s="311"/>
      <c r="G53" s="31">
        <v>10</v>
      </c>
      <c r="H53" s="110">
        <v>50.7</v>
      </c>
      <c r="I53" s="111">
        <v>64.6</v>
      </c>
      <c r="K53" s="309"/>
      <c r="L53" s="65">
        <v>6.3</v>
      </c>
      <c r="M53" s="40">
        <v>20.77</v>
      </c>
      <c r="N53" s="102">
        <v>26.46</v>
      </c>
      <c r="O53" s="125"/>
      <c r="P53" s="126"/>
      <c r="Q53" s="126"/>
      <c r="R53" s="127"/>
      <c r="T53" s="308">
        <v>120</v>
      </c>
      <c r="U53" s="65">
        <v>40</v>
      </c>
      <c r="V53" s="313" t="s">
        <v>305</v>
      </c>
      <c r="W53" s="38"/>
      <c r="X53" s="38"/>
      <c r="Y53" s="41"/>
      <c r="Z53" s="41">
        <v>4.89</v>
      </c>
      <c r="AA53" s="41">
        <v>6.07</v>
      </c>
      <c r="AB53" s="41">
        <v>7.1</v>
      </c>
      <c r="AC53" s="41">
        <v>9.28</v>
      </c>
      <c r="AD53" s="103">
        <v>11.3</v>
      </c>
    </row>
    <row r="54" spans="2:30" ht="15" customHeight="1" thickBot="1">
      <c r="B54" s="299"/>
      <c r="C54" s="112">
        <v>7.1</v>
      </c>
      <c r="D54" s="115">
        <v>19.4</v>
      </c>
      <c r="E54" s="108">
        <v>24.7</v>
      </c>
      <c r="F54" s="312"/>
      <c r="G54" s="112">
        <v>12.5</v>
      </c>
      <c r="H54" s="113">
        <v>61.5</v>
      </c>
      <c r="I54" s="114">
        <v>78.4</v>
      </c>
      <c r="K54" s="316"/>
      <c r="L54" s="66">
        <v>7.1</v>
      </c>
      <c r="M54" s="42">
        <v>22.7</v>
      </c>
      <c r="N54" s="104">
        <v>28.9</v>
      </c>
      <c r="O54" s="128"/>
      <c r="P54" s="74"/>
      <c r="Q54" s="74"/>
      <c r="R54" s="129"/>
      <c r="T54" s="316"/>
      <c r="U54" s="66">
        <v>60</v>
      </c>
      <c r="V54" s="317"/>
      <c r="W54" s="39"/>
      <c r="X54" s="39"/>
      <c r="Y54" s="42"/>
      <c r="Z54" s="42">
        <v>5.52</v>
      </c>
      <c r="AA54" s="42">
        <v>6.86</v>
      </c>
      <c r="AB54" s="42">
        <v>8.04</v>
      </c>
      <c r="AC54" s="42">
        <v>10.5</v>
      </c>
      <c r="AD54" s="104">
        <v>12.8</v>
      </c>
    </row>
    <row r="55" ht="15" customHeight="1" thickTop="1"/>
    <row r="56" ht="15" customHeight="1"/>
    <row r="57" ht="15" customHeight="1"/>
    <row r="58" ht="15" customHeight="1"/>
    <row r="59" ht="15" customHeight="1"/>
  </sheetData>
  <sheetProtection/>
  <mergeCells count="62">
    <mergeCell ref="B2:I2"/>
    <mergeCell ref="F5:F10"/>
    <mergeCell ref="F11:F17"/>
    <mergeCell ref="B5:B6"/>
    <mergeCell ref="B10:B13"/>
    <mergeCell ref="B14:B19"/>
    <mergeCell ref="F18:F24"/>
    <mergeCell ref="F25:F30"/>
    <mergeCell ref="F31:F36"/>
    <mergeCell ref="O26:O31"/>
    <mergeCell ref="O32:O37"/>
    <mergeCell ref="F37:F42"/>
    <mergeCell ref="K21:K26"/>
    <mergeCell ref="K27:K32"/>
    <mergeCell ref="O38:O43"/>
    <mergeCell ref="O19:O25"/>
    <mergeCell ref="K2:R2"/>
    <mergeCell ref="K5:K8"/>
    <mergeCell ref="K9:K14"/>
    <mergeCell ref="K15:K20"/>
    <mergeCell ref="K44:K49"/>
    <mergeCell ref="W3:AD3"/>
    <mergeCell ref="T2:AD2"/>
    <mergeCell ref="T7:T9"/>
    <mergeCell ref="V7:V9"/>
    <mergeCell ref="O5:O11"/>
    <mergeCell ref="O12:O18"/>
    <mergeCell ref="T16:T17"/>
    <mergeCell ref="T10:T11"/>
    <mergeCell ref="V10:V11"/>
    <mergeCell ref="T12:T15"/>
    <mergeCell ref="V12:V15"/>
    <mergeCell ref="V16:V17"/>
    <mergeCell ref="V34:V38"/>
    <mergeCell ref="T27:T32"/>
    <mergeCell ref="V27:V32"/>
    <mergeCell ref="T18:T20"/>
    <mergeCell ref="V18:V20"/>
    <mergeCell ref="T22:T25"/>
    <mergeCell ref="V22:V25"/>
    <mergeCell ref="V48:V52"/>
    <mergeCell ref="T53:T54"/>
    <mergeCell ref="V53:V54"/>
    <mergeCell ref="T39:T40"/>
    <mergeCell ref="V39:V40"/>
    <mergeCell ref="T41:T46"/>
    <mergeCell ref="V41:V46"/>
    <mergeCell ref="B49:B54"/>
    <mergeCell ref="T48:T52"/>
    <mergeCell ref="T34:T38"/>
    <mergeCell ref="O44:O50"/>
    <mergeCell ref="F43:F48"/>
    <mergeCell ref="F49:F54"/>
    <mergeCell ref="K33:K37"/>
    <mergeCell ref="K38:K43"/>
    <mergeCell ref="K50:K54"/>
    <mergeCell ref="B20:B25"/>
    <mergeCell ref="B26:B31"/>
    <mergeCell ref="B7:B9"/>
    <mergeCell ref="B32:B37"/>
    <mergeCell ref="B38:B42"/>
    <mergeCell ref="B43:B48"/>
  </mergeCells>
  <printOptions/>
  <pageMargins left="0.75" right="0.75" top="1" bottom="1" header="0.5" footer="0.5"/>
  <pageSetup orientation="portrait" paperSize="9" scale="85" r:id="rId1"/>
  <colBreaks count="2" manualBreakCount="2">
    <brk id="9" max="53" man="1"/>
    <brk id="18" max="53" man="1"/>
  </colBreaks>
</worksheet>
</file>

<file path=xl/worksheets/sheet7.xml><?xml version="1.0" encoding="utf-8"?>
<worksheet xmlns="http://schemas.openxmlformats.org/spreadsheetml/2006/main" xmlns:r="http://schemas.openxmlformats.org/officeDocument/2006/relationships">
  <sheetPr>
    <tabColor indexed="15"/>
  </sheetPr>
  <dimension ref="B1:R35"/>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B1" sqref="B1:R1"/>
    </sheetView>
  </sheetViews>
  <sheetFormatPr defaultColWidth="9.00390625" defaultRowHeight="12.75"/>
  <cols>
    <col min="1" max="1" width="2.625" style="0" customWidth="1"/>
    <col min="2" max="2" width="8.625" style="0" customWidth="1"/>
    <col min="3" max="18" width="6.625" style="0" customWidth="1"/>
  </cols>
  <sheetData>
    <row r="1" spans="2:18" ht="19.5" customHeight="1" thickBot="1">
      <c r="B1" s="322" t="s">
        <v>50</v>
      </c>
      <c r="C1" s="322"/>
      <c r="D1" s="322"/>
      <c r="E1" s="322"/>
      <c r="F1" s="322"/>
      <c r="G1" s="322"/>
      <c r="H1" s="322"/>
      <c r="I1" s="322"/>
      <c r="J1" s="322"/>
      <c r="K1" s="322"/>
      <c r="L1" s="322"/>
      <c r="M1" s="322"/>
      <c r="N1" s="322"/>
      <c r="O1" s="322"/>
      <c r="P1" s="322"/>
      <c r="Q1" s="322"/>
      <c r="R1" s="322"/>
    </row>
    <row r="2" spans="2:18" ht="30" customHeight="1" thickTop="1">
      <c r="B2" s="56" t="s">
        <v>48</v>
      </c>
      <c r="C2" s="59">
        <v>5</v>
      </c>
      <c r="D2" s="59">
        <v>6</v>
      </c>
      <c r="E2" s="59">
        <v>6.5</v>
      </c>
      <c r="F2" s="59">
        <v>7</v>
      </c>
      <c r="G2" s="59">
        <v>8</v>
      </c>
      <c r="H2" s="59">
        <v>9</v>
      </c>
      <c r="I2" s="59">
        <v>10</v>
      </c>
      <c r="J2" s="59">
        <v>11</v>
      </c>
      <c r="K2" s="59">
        <v>12</v>
      </c>
      <c r="L2" s="59">
        <v>13</v>
      </c>
      <c r="M2" s="59">
        <v>14</v>
      </c>
      <c r="N2" s="59">
        <v>15</v>
      </c>
      <c r="O2" s="59">
        <v>16</v>
      </c>
      <c r="P2" s="59">
        <v>17</v>
      </c>
      <c r="Q2" s="59">
        <v>18</v>
      </c>
      <c r="R2" s="63">
        <v>20</v>
      </c>
    </row>
    <row r="3" spans="2:18" ht="15" customHeight="1">
      <c r="B3" s="57">
        <v>12</v>
      </c>
      <c r="C3" s="62">
        <f aca="true" t="shared" si="0" ref="C3:R12">($B3*C$2*7850)/1000000</f>
        <v>0.471</v>
      </c>
      <c r="D3" s="62">
        <f t="shared" si="0"/>
        <v>0.5652</v>
      </c>
      <c r="E3" s="44">
        <f t="shared" si="0"/>
        <v>0.6123</v>
      </c>
      <c r="F3" s="44">
        <f t="shared" si="0"/>
        <v>0.6594</v>
      </c>
      <c r="G3" s="44">
        <f t="shared" si="0"/>
        <v>0.7536</v>
      </c>
      <c r="H3" s="44">
        <f t="shared" si="0"/>
        <v>0.8478</v>
      </c>
      <c r="I3" s="48">
        <f t="shared" si="0"/>
        <v>0.942</v>
      </c>
      <c r="J3" s="48">
        <f t="shared" si="0"/>
        <v>1.0362</v>
      </c>
      <c r="K3" s="48">
        <f t="shared" si="0"/>
        <v>1.1304</v>
      </c>
      <c r="L3" s="48">
        <f t="shared" si="0"/>
        <v>1.2246</v>
      </c>
      <c r="M3" s="48">
        <f t="shared" si="0"/>
        <v>1.3188</v>
      </c>
      <c r="N3" s="48">
        <f t="shared" si="0"/>
        <v>1.413</v>
      </c>
      <c r="O3" s="48">
        <f t="shared" si="0"/>
        <v>1.5072</v>
      </c>
      <c r="P3" s="48">
        <f t="shared" si="0"/>
        <v>1.6014</v>
      </c>
      <c r="Q3" s="48">
        <f t="shared" si="0"/>
        <v>1.6956</v>
      </c>
      <c r="R3" s="50">
        <f t="shared" si="0"/>
        <v>1.884</v>
      </c>
    </row>
    <row r="4" spans="2:18" ht="15" customHeight="1">
      <c r="B4" s="14">
        <v>13</v>
      </c>
      <c r="C4" s="62">
        <f t="shared" si="0"/>
        <v>0.51025</v>
      </c>
      <c r="D4" s="62">
        <f t="shared" si="0"/>
        <v>0.6123</v>
      </c>
      <c r="E4" s="62">
        <f t="shared" si="0"/>
        <v>0.663325</v>
      </c>
      <c r="F4" s="62">
        <f t="shared" si="0"/>
        <v>0.71435</v>
      </c>
      <c r="G4" s="62">
        <f t="shared" si="0"/>
        <v>0.8164</v>
      </c>
      <c r="H4" s="62">
        <f t="shared" si="0"/>
        <v>0.91845</v>
      </c>
      <c r="I4" s="48">
        <f t="shared" si="0"/>
        <v>1.0205</v>
      </c>
      <c r="J4" s="48">
        <f t="shared" si="0"/>
        <v>1.12255</v>
      </c>
      <c r="K4" s="48">
        <f t="shared" si="0"/>
        <v>1.2246</v>
      </c>
      <c r="L4" s="48">
        <f t="shared" si="0"/>
        <v>1.32665</v>
      </c>
      <c r="M4" s="48">
        <f t="shared" si="0"/>
        <v>1.4287</v>
      </c>
      <c r="N4" s="48">
        <f t="shared" si="0"/>
        <v>1.53075</v>
      </c>
      <c r="O4" s="48">
        <f t="shared" si="0"/>
        <v>1.6328</v>
      </c>
      <c r="P4" s="48">
        <f t="shared" si="0"/>
        <v>1.73485</v>
      </c>
      <c r="Q4" s="48">
        <f t="shared" si="0"/>
        <v>1.8369</v>
      </c>
      <c r="R4" s="50">
        <f t="shared" si="0"/>
        <v>2.041</v>
      </c>
    </row>
    <row r="5" spans="2:18" ht="15" customHeight="1">
      <c r="B5" s="14">
        <v>14</v>
      </c>
      <c r="C5" s="62">
        <f t="shared" si="0"/>
        <v>0.5495</v>
      </c>
      <c r="D5" s="62">
        <f t="shared" si="0"/>
        <v>0.6594</v>
      </c>
      <c r="E5" s="44">
        <f t="shared" si="0"/>
        <v>0.71435</v>
      </c>
      <c r="F5" s="62">
        <f t="shared" si="0"/>
        <v>0.7693</v>
      </c>
      <c r="G5" s="62">
        <f t="shared" si="0"/>
        <v>0.8792</v>
      </c>
      <c r="H5" s="44">
        <f t="shared" si="0"/>
        <v>0.9891</v>
      </c>
      <c r="I5" s="48">
        <f t="shared" si="0"/>
        <v>1.099</v>
      </c>
      <c r="J5" s="48">
        <f t="shared" si="0"/>
        <v>1.2089</v>
      </c>
      <c r="K5" s="48">
        <f t="shared" si="0"/>
        <v>1.3188</v>
      </c>
      <c r="L5" s="48">
        <f t="shared" si="0"/>
        <v>1.4287</v>
      </c>
      <c r="M5" s="48">
        <f t="shared" si="0"/>
        <v>1.5386</v>
      </c>
      <c r="N5" s="48">
        <f t="shared" si="0"/>
        <v>1.6485</v>
      </c>
      <c r="O5" s="48">
        <f t="shared" si="0"/>
        <v>1.7584</v>
      </c>
      <c r="P5" s="48">
        <f t="shared" si="0"/>
        <v>1.8683</v>
      </c>
      <c r="Q5" s="48">
        <f t="shared" si="0"/>
        <v>1.9782</v>
      </c>
      <c r="R5" s="50">
        <f t="shared" si="0"/>
        <v>2.198</v>
      </c>
    </row>
    <row r="6" spans="2:18" ht="15" customHeight="1">
      <c r="B6" s="14">
        <v>15</v>
      </c>
      <c r="C6" s="62">
        <f t="shared" si="0"/>
        <v>0.58875</v>
      </c>
      <c r="D6" s="62">
        <f t="shared" si="0"/>
        <v>0.7065</v>
      </c>
      <c r="E6" s="44">
        <f t="shared" si="0"/>
        <v>0.765375</v>
      </c>
      <c r="F6" s="62">
        <f t="shared" si="0"/>
        <v>0.82425</v>
      </c>
      <c r="G6" s="62">
        <f t="shared" si="0"/>
        <v>0.942</v>
      </c>
      <c r="H6" s="44">
        <f t="shared" si="0"/>
        <v>1.05975</v>
      </c>
      <c r="I6" s="52">
        <f t="shared" si="0"/>
        <v>1.1775</v>
      </c>
      <c r="J6" s="48">
        <f t="shared" si="0"/>
        <v>1.29525</v>
      </c>
      <c r="K6" s="48">
        <f t="shared" si="0"/>
        <v>1.413</v>
      </c>
      <c r="L6" s="48">
        <f t="shared" si="0"/>
        <v>1.53075</v>
      </c>
      <c r="M6" s="48">
        <f t="shared" si="0"/>
        <v>1.6485</v>
      </c>
      <c r="N6" s="48">
        <f t="shared" si="0"/>
        <v>1.76625</v>
      </c>
      <c r="O6" s="48">
        <f t="shared" si="0"/>
        <v>1.884</v>
      </c>
      <c r="P6" s="48">
        <f t="shared" si="0"/>
        <v>2.00175</v>
      </c>
      <c r="Q6" s="48">
        <f t="shared" si="0"/>
        <v>2.1195</v>
      </c>
      <c r="R6" s="50">
        <f t="shared" si="0"/>
        <v>2.355</v>
      </c>
    </row>
    <row r="7" spans="2:18" ht="15" customHeight="1">
      <c r="B7" s="14">
        <v>16</v>
      </c>
      <c r="C7" s="62">
        <f t="shared" si="0"/>
        <v>0.628</v>
      </c>
      <c r="D7" s="62">
        <f t="shared" si="0"/>
        <v>0.7536</v>
      </c>
      <c r="E7" s="62">
        <f t="shared" si="0"/>
        <v>0.8164</v>
      </c>
      <c r="F7" s="62">
        <f t="shared" si="0"/>
        <v>0.8792</v>
      </c>
      <c r="G7" s="62">
        <f t="shared" si="0"/>
        <v>1.0048</v>
      </c>
      <c r="H7" s="62">
        <f t="shared" si="0"/>
        <v>1.1304</v>
      </c>
      <c r="I7" s="52">
        <f t="shared" si="0"/>
        <v>1.256</v>
      </c>
      <c r="J7" s="52">
        <f t="shared" si="0"/>
        <v>1.3816</v>
      </c>
      <c r="K7" s="48">
        <f t="shared" si="0"/>
        <v>1.5072</v>
      </c>
      <c r="L7" s="48">
        <f t="shared" si="0"/>
        <v>1.6328</v>
      </c>
      <c r="M7" s="48">
        <f t="shared" si="0"/>
        <v>1.7584</v>
      </c>
      <c r="N7" s="48">
        <f t="shared" si="0"/>
        <v>1.884</v>
      </c>
      <c r="O7" s="48">
        <f t="shared" si="0"/>
        <v>2.0096</v>
      </c>
      <c r="P7" s="48">
        <f t="shared" si="0"/>
        <v>2.1352</v>
      </c>
      <c r="Q7" s="48">
        <f t="shared" si="0"/>
        <v>2.2608</v>
      </c>
      <c r="R7" s="50">
        <f t="shared" si="0"/>
        <v>2.512</v>
      </c>
    </row>
    <row r="8" spans="2:18" ht="15" customHeight="1">
      <c r="B8" s="14">
        <v>17</v>
      </c>
      <c r="C8" s="62">
        <f t="shared" si="0"/>
        <v>0.66725</v>
      </c>
      <c r="D8" s="62">
        <f t="shared" si="0"/>
        <v>0.8007</v>
      </c>
      <c r="E8" s="44">
        <f t="shared" si="0"/>
        <v>0.867425</v>
      </c>
      <c r="F8" s="62">
        <f t="shared" si="0"/>
        <v>0.93415</v>
      </c>
      <c r="G8" s="62">
        <f t="shared" si="0"/>
        <v>1.0676</v>
      </c>
      <c r="H8" s="44">
        <f t="shared" si="0"/>
        <v>1.20105</v>
      </c>
      <c r="I8" s="48">
        <f t="shared" si="0"/>
        <v>1.3345</v>
      </c>
      <c r="J8" s="52">
        <f t="shared" si="0"/>
        <v>1.46795</v>
      </c>
      <c r="K8" s="48">
        <f t="shared" si="0"/>
        <v>1.6014</v>
      </c>
      <c r="L8" s="48">
        <f t="shared" si="0"/>
        <v>1.73485</v>
      </c>
      <c r="M8" s="48">
        <f t="shared" si="0"/>
        <v>1.8683</v>
      </c>
      <c r="N8" s="48">
        <f t="shared" si="0"/>
        <v>2.00175</v>
      </c>
      <c r="O8" s="48">
        <f t="shared" si="0"/>
        <v>2.1352</v>
      </c>
      <c r="P8" s="48">
        <f t="shared" si="0"/>
        <v>2.26865</v>
      </c>
      <c r="Q8" s="48">
        <f t="shared" si="0"/>
        <v>2.4021</v>
      </c>
      <c r="R8" s="50">
        <f t="shared" si="0"/>
        <v>2.669</v>
      </c>
    </row>
    <row r="9" spans="2:18" ht="15" customHeight="1">
      <c r="B9" s="14">
        <v>18</v>
      </c>
      <c r="C9" s="62">
        <f t="shared" si="0"/>
        <v>0.7065</v>
      </c>
      <c r="D9" s="62">
        <f t="shared" si="0"/>
        <v>0.8478</v>
      </c>
      <c r="E9" s="62">
        <f t="shared" si="0"/>
        <v>0.91845</v>
      </c>
      <c r="F9" s="62">
        <f t="shared" si="0"/>
        <v>0.9891</v>
      </c>
      <c r="G9" s="62">
        <f t="shared" si="0"/>
        <v>1.1304</v>
      </c>
      <c r="H9" s="62">
        <f t="shared" si="0"/>
        <v>1.2717</v>
      </c>
      <c r="I9" s="52">
        <f t="shared" si="0"/>
        <v>1.413</v>
      </c>
      <c r="J9" s="52">
        <f t="shared" si="0"/>
        <v>1.5543</v>
      </c>
      <c r="K9" s="48">
        <f t="shared" si="0"/>
        <v>1.6956</v>
      </c>
      <c r="L9" s="48">
        <f t="shared" si="0"/>
        <v>1.8369</v>
      </c>
      <c r="M9" s="48">
        <f t="shared" si="0"/>
        <v>1.9782</v>
      </c>
      <c r="N9" s="48">
        <f t="shared" si="0"/>
        <v>2.1195</v>
      </c>
      <c r="O9" s="48">
        <f t="shared" si="0"/>
        <v>2.2608</v>
      </c>
      <c r="P9" s="48">
        <f t="shared" si="0"/>
        <v>2.4021</v>
      </c>
      <c r="Q9" s="48">
        <f t="shared" si="0"/>
        <v>2.5434</v>
      </c>
      <c r="R9" s="50">
        <f t="shared" si="0"/>
        <v>2.826</v>
      </c>
    </row>
    <row r="10" spans="2:18" ht="15" customHeight="1">
      <c r="B10" s="14">
        <v>19</v>
      </c>
      <c r="C10" s="62">
        <f t="shared" si="0"/>
        <v>0.74575</v>
      </c>
      <c r="D10" s="62">
        <f t="shared" si="0"/>
        <v>0.8949</v>
      </c>
      <c r="E10" s="44">
        <f t="shared" si="0"/>
        <v>0.969475</v>
      </c>
      <c r="F10" s="62">
        <f t="shared" si="0"/>
        <v>1.04405</v>
      </c>
      <c r="G10" s="62">
        <f t="shared" si="0"/>
        <v>1.1932</v>
      </c>
      <c r="H10" s="62">
        <f t="shared" si="0"/>
        <v>1.34235</v>
      </c>
      <c r="I10" s="48">
        <f t="shared" si="0"/>
        <v>1.4915</v>
      </c>
      <c r="J10" s="52">
        <f t="shared" si="0"/>
        <v>1.64065</v>
      </c>
      <c r="K10" s="48">
        <f t="shared" si="0"/>
        <v>1.7898</v>
      </c>
      <c r="L10" s="52">
        <f t="shared" si="0"/>
        <v>1.93895</v>
      </c>
      <c r="M10" s="48">
        <f t="shared" si="0"/>
        <v>2.0881</v>
      </c>
      <c r="N10" s="48">
        <f t="shared" si="0"/>
        <v>2.23725</v>
      </c>
      <c r="O10" s="48">
        <f t="shared" si="0"/>
        <v>2.3864</v>
      </c>
      <c r="P10" s="48">
        <f t="shared" si="0"/>
        <v>2.53555</v>
      </c>
      <c r="Q10" s="48">
        <f t="shared" si="0"/>
        <v>2.6847</v>
      </c>
      <c r="R10" s="50">
        <f t="shared" si="0"/>
        <v>2.983</v>
      </c>
    </row>
    <row r="11" spans="2:18" ht="15" customHeight="1">
      <c r="B11" s="14">
        <v>20</v>
      </c>
      <c r="C11" s="62">
        <f t="shared" si="0"/>
        <v>0.785</v>
      </c>
      <c r="D11" s="62">
        <f t="shared" si="0"/>
        <v>0.942</v>
      </c>
      <c r="E11" s="62">
        <f t="shared" si="0"/>
        <v>1.0205</v>
      </c>
      <c r="F11" s="62">
        <f t="shared" si="0"/>
        <v>1.099</v>
      </c>
      <c r="G11" s="62">
        <f t="shared" si="0"/>
        <v>1.256</v>
      </c>
      <c r="H11" s="62">
        <f t="shared" si="0"/>
        <v>1.413</v>
      </c>
      <c r="I11" s="52">
        <f t="shared" si="0"/>
        <v>1.57</v>
      </c>
      <c r="J11" s="48">
        <f t="shared" si="0"/>
        <v>1.727</v>
      </c>
      <c r="K11" s="52">
        <f t="shared" si="0"/>
        <v>1.884</v>
      </c>
      <c r="L11" s="52">
        <f t="shared" si="0"/>
        <v>2.041</v>
      </c>
      <c r="M11" s="48">
        <f t="shared" si="0"/>
        <v>2.198</v>
      </c>
      <c r="N11" s="48">
        <f t="shared" si="0"/>
        <v>2.355</v>
      </c>
      <c r="O11" s="48">
        <f t="shared" si="0"/>
        <v>2.512</v>
      </c>
      <c r="P11" s="48">
        <f t="shared" si="0"/>
        <v>2.669</v>
      </c>
      <c r="Q11" s="48">
        <f t="shared" si="0"/>
        <v>2.826</v>
      </c>
      <c r="R11" s="50">
        <f t="shared" si="0"/>
        <v>3.14</v>
      </c>
    </row>
    <row r="12" spans="2:18" ht="15" customHeight="1">
      <c r="B12" s="14">
        <v>22</v>
      </c>
      <c r="C12" s="62">
        <f t="shared" si="0"/>
        <v>0.8635</v>
      </c>
      <c r="D12" s="62">
        <f t="shared" si="0"/>
        <v>1.0362</v>
      </c>
      <c r="E12" s="62">
        <f t="shared" si="0"/>
        <v>1.12255</v>
      </c>
      <c r="F12" s="62">
        <f t="shared" si="0"/>
        <v>1.2089</v>
      </c>
      <c r="G12" s="62">
        <f t="shared" si="0"/>
        <v>1.3816</v>
      </c>
      <c r="H12" s="44">
        <f t="shared" si="0"/>
        <v>1.5543</v>
      </c>
      <c r="I12" s="52">
        <f t="shared" si="0"/>
        <v>1.727</v>
      </c>
      <c r="J12" s="52">
        <f t="shared" si="0"/>
        <v>1.8997</v>
      </c>
      <c r="K12" s="52">
        <f t="shared" si="0"/>
        <v>2.0724</v>
      </c>
      <c r="L12" s="52">
        <f t="shared" si="0"/>
        <v>2.2451</v>
      </c>
      <c r="M12" s="52">
        <f t="shared" si="0"/>
        <v>2.4178</v>
      </c>
      <c r="N12" s="52">
        <f t="shared" si="0"/>
        <v>2.5905</v>
      </c>
      <c r="O12" s="48">
        <f t="shared" si="0"/>
        <v>2.7632</v>
      </c>
      <c r="P12" s="52">
        <f t="shared" si="0"/>
        <v>2.9359</v>
      </c>
      <c r="Q12" s="48">
        <f t="shared" si="0"/>
        <v>3.1086</v>
      </c>
      <c r="R12" s="50">
        <f t="shared" si="0"/>
        <v>3.454</v>
      </c>
    </row>
    <row r="13" spans="2:18" ht="15" customHeight="1">
      <c r="B13" s="14">
        <v>25</v>
      </c>
      <c r="C13" s="52">
        <f aca="true" t="shared" si="1" ref="C13:R22">($B13*C$2*7850)/1000000</f>
        <v>0.98125</v>
      </c>
      <c r="D13" s="52">
        <f t="shared" si="1"/>
        <v>1.1775</v>
      </c>
      <c r="E13" s="52">
        <f t="shared" si="1"/>
        <v>1.275625</v>
      </c>
      <c r="F13" s="52">
        <f t="shared" si="1"/>
        <v>1.37375</v>
      </c>
      <c r="G13" s="52">
        <f t="shared" si="1"/>
        <v>1.57</v>
      </c>
      <c r="H13" s="48">
        <f t="shared" si="1"/>
        <v>1.76625</v>
      </c>
      <c r="I13" s="52">
        <f t="shared" si="1"/>
        <v>1.9625</v>
      </c>
      <c r="J13" s="48">
        <f t="shared" si="1"/>
        <v>2.15875</v>
      </c>
      <c r="K13" s="52">
        <f t="shared" si="1"/>
        <v>2.355</v>
      </c>
      <c r="L13" s="52">
        <f t="shared" si="1"/>
        <v>2.55125</v>
      </c>
      <c r="M13" s="52">
        <f t="shared" si="1"/>
        <v>2.7475</v>
      </c>
      <c r="N13" s="52">
        <f t="shared" si="1"/>
        <v>2.94375</v>
      </c>
      <c r="O13" s="52">
        <f t="shared" si="1"/>
        <v>3.14</v>
      </c>
      <c r="P13" s="48">
        <f t="shared" si="1"/>
        <v>3.33625</v>
      </c>
      <c r="Q13" s="48">
        <f t="shared" si="1"/>
        <v>3.5325</v>
      </c>
      <c r="R13" s="50">
        <f t="shared" si="1"/>
        <v>3.925</v>
      </c>
    </row>
    <row r="14" spans="2:18" ht="15" customHeight="1">
      <c r="B14" s="14">
        <v>26</v>
      </c>
      <c r="C14" s="52">
        <f t="shared" si="1"/>
        <v>1.0205</v>
      </c>
      <c r="D14" s="52">
        <f t="shared" si="1"/>
        <v>1.2246</v>
      </c>
      <c r="E14" s="52">
        <f t="shared" si="1"/>
        <v>1.32665</v>
      </c>
      <c r="F14" s="52">
        <f t="shared" si="1"/>
        <v>1.4287</v>
      </c>
      <c r="G14" s="52">
        <f t="shared" si="1"/>
        <v>1.6328</v>
      </c>
      <c r="H14" s="48">
        <f t="shared" si="1"/>
        <v>1.8369</v>
      </c>
      <c r="I14" s="52">
        <f t="shared" si="1"/>
        <v>2.041</v>
      </c>
      <c r="J14" s="48">
        <f t="shared" si="1"/>
        <v>2.2451</v>
      </c>
      <c r="K14" s="52">
        <f t="shared" si="1"/>
        <v>2.4492</v>
      </c>
      <c r="L14" s="52">
        <f t="shared" si="1"/>
        <v>2.6533</v>
      </c>
      <c r="M14" s="52">
        <f t="shared" si="1"/>
        <v>2.8574</v>
      </c>
      <c r="N14" s="52">
        <f t="shared" si="1"/>
        <v>3.0615</v>
      </c>
      <c r="O14" s="52">
        <f t="shared" si="1"/>
        <v>3.2656</v>
      </c>
      <c r="P14" s="48">
        <f t="shared" si="1"/>
        <v>3.4697</v>
      </c>
      <c r="Q14" s="52">
        <f t="shared" si="1"/>
        <v>3.6738</v>
      </c>
      <c r="R14" s="53">
        <f t="shared" si="1"/>
        <v>4.082</v>
      </c>
    </row>
    <row r="15" spans="2:18" ht="15" customHeight="1">
      <c r="B15" s="14">
        <v>28</v>
      </c>
      <c r="C15" s="52">
        <f t="shared" si="1"/>
        <v>1.099</v>
      </c>
      <c r="D15" s="52">
        <f t="shared" si="1"/>
        <v>1.3188</v>
      </c>
      <c r="E15" s="52">
        <f t="shared" si="1"/>
        <v>1.4287</v>
      </c>
      <c r="F15" s="52">
        <f t="shared" si="1"/>
        <v>1.5386</v>
      </c>
      <c r="G15" s="52">
        <f t="shared" si="1"/>
        <v>1.7584</v>
      </c>
      <c r="H15" s="48">
        <f t="shared" si="1"/>
        <v>1.9782</v>
      </c>
      <c r="I15" s="52">
        <f t="shared" si="1"/>
        <v>2.198</v>
      </c>
      <c r="J15" s="48">
        <f t="shared" si="1"/>
        <v>2.4178</v>
      </c>
      <c r="K15" s="52">
        <f t="shared" si="1"/>
        <v>2.6376</v>
      </c>
      <c r="L15" s="52">
        <f t="shared" si="1"/>
        <v>2.8574</v>
      </c>
      <c r="M15" s="52">
        <f t="shared" si="1"/>
        <v>3.0772</v>
      </c>
      <c r="N15" s="48">
        <f t="shared" si="1"/>
        <v>3.297</v>
      </c>
      <c r="O15" s="52">
        <f t="shared" si="1"/>
        <v>3.5168</v>
      </c>
      <c r="P15" s="48">
        <f t="shared" si="1"/>
        <v>3.7366</v>
      </c>
      <c r="Q15" s="52">
        <f t="shared" si="1"/>
        <v>3.9564</v>
      </c>
      <c r="R15" s="50">
        <f t="shared" si="1"/>
        <v>4.396</v>
      </c>
    </row>
    <row r="16" spans="2:18" ht="15" customHeight="1">
      <c r="B16" s="14">
        <v>30</v>
      </c>
      <c r="C16" s="52">
        <f t="shared" si="1"/>
        <v>1.1775</v>
      </c>
      <c r="D16" s="52">
        <f t="shared" si="1"/>
        <v>1.413</v>
      </c>
      <c r="E16" s="52">
        <f t="shared" si="1"/>
        <v>1.53075</v>
      </c>
      <c r="F16" s="52">
        <f t="shared" si="1"/>
        <v>1.6485</v>
      </c>
      <c r="G16" s="52">
        <f t="shared" si="1"/>
        <v>1.884</v>
      </c>
      <c r="H16" s="52">
        <f t="shared" si="1"/>
        <v>2.1195</v>
      </c>
      <c r="I16" s="52">
        <f t="shared" si="1"/>
        <v>2.355</v>
      </c>
      <c r="J16" s="48">
        <f t="shared" si="1"/>
        <v>2.5905</v>
      </c>
      <c r="K16" s="52">
        <f t="shared" si="1"/>
        <v>2.826</v>
      </c>
      <c r="L16" s="52">
        <f t="shared" si="1"/>
        <v>3.0615</v>
      </c>
      <c r="M16" s="52">
        <f t="shared" si="1"/>
        <v>3.297</v>
      </c>
      <c r="N16" s="52">
        <f t="shared" si="1"/>
        <v>3.5325</v>
      </c>
      <c r="O16" s="52">
        <f t="shared" si="1"/>
        <v>3.768</v>
      </c>
      <c r="P16" s="48">
        <f t="shared" si="1"/>
        <v>4.0035</v>
      </c>
      <c r="Q16" s="52">
        <f t="shared" si="1"/>
        <v>4.239</v>
      </c>
      <c r="R16" s="53">
        <f t="shared" si="1"/>
        <v>4.71</v>
      </c>
    </row>
    <row r="17" spans="2:18" ht="15" customHeight="1">
      <c r="B17" s="14">
        <v>32</v>
      </c>
      <c r="C17" s="52">
        <f t="shared" si="1"/>
        <v>1.256</v>
      </c>
      <c r="D17" s="52">
        <f t="shared" si="1"/>
        <v>1.5072</v>
      </c>
      <c r="E17" s="52">
        <f t="shared" si="1"/>
        <v>1.6328</v>
      </c>
      <c r="F17" s="48">
        <f t="shared" si="1"/>
        <v>1.7584</v>
      </c>
      <c r="G17" s="52">
        <f t="shared" si="1"/>
        <v>2.0096</v>
      </c>
      <c r="H17" s="48">
        <f t="shared" si="1"/>
        <v>2.2608</v>
      </c>
      <c r="I17" s="52">
        <f t="shared" si="1"/>
        <v>2.512</v>
      </c>
      <c r="J17" s="48">
        <f t="shared" si="1"/>
        <v>2.7632</v>
      </c>
      <c r="K17" s="52">
        <f t="shared" si="1"/>
        <v>3.0144</v>
      </c>
      <c r="L17" s="52">
        <f t="shared" si="1"/>
        <v>3.2656</v>
      </c>
      <c r="M17" s="52">
        <f t="shared" si="1"/>
        <v>3.5168</v>
      </c>
      <c r="N17" s="52">
        <f t="shared" si="1"/>
        <v>3.768</v>
      </c>
      <c r="O17" s="52">
        <f t="shared" si="1"/>
        <v>4.0192</v>
      </c>
      <c r="P17" s="48">
        <f t="shared" si="1"/>
        <v>4.2704</v>
      </c>
      <c r="Q17" s="48">
        <f t="shared" si="1"/>
        <v>4.5216</v>
      </c>
      <c r="R17" s="53">
        <f t="shared" si="1"/>
        <v>5.024</v>
      </c>
    </row>
    <row r="18" spans="2:18" ht="15" customHeight="1">
      <c r="B18" s="14">
        <v>35</v>
      </c>
      <c r="C18" s="52">
        <f t="shared" si="1"/>
        <v>1.37375</v>
      </c>
      <c r="D18" s="52">
        <f t="shared" si="1"/>
        <v>1.6485</v>
      </c>
      <c r="E18" s="52">
        <f t="shared" si="1"/>
        <v>1.785875</v>
      </c>
      <c r="F18" s="52">
        <f t="shared" si="1"/>
        <v>1.92325</v>
      </c>
      <c r="G18" s="52">
        <f t="shared" si="1"/>
        <v>2.198</v>
      </c>
      <c r="H18" s="48">
        <f t="shared" si="1"/>
        <v>2.47275</v>
      </c>
      <c r="I18" s="52">
        <f t="shared" si="1"/>
        <v>2.7475</v>
      </c>
      <c r="J18" s="48">
        <f t="shared" si="1"/>
        <v>3.02225</v>
      </c>
      <c r="K18" s="52">
        <f t="shared" si="1"/>
        <v>3.297</v>
      </c>
      <c r="L18" s="52">
        <f t="shared" si="1"/>
        <v>3.57175</v>
      </c>
      <c r="M18" s="52">
        <f t="shared" si="1"/>
        <v>3.8465</v>
      </c>
      <c r="N18" s="52">
        <f t="shared" si="1"/>
        <v>4.12125</v>
      </c>
      <c r="O18" s="52">
        <f t="shared" si="1"/>
        <v>4.396</v>
      </c>
      <c r="P18" s="48">
        <f t="shared" si="1"/>
        <v>4.67075</v>
      </c>
      <c r="Q18" s="52">
        <f t="shared" si="1"/>
        <v>4.9455</v>
      </c>
      <c r="R18" s="53">
        <f t="shared" si="1"/>
        <v>5.495</v>
      </c>
    </row>
    <row r="19" spans="2:18" ht="15" customHeight="1">
      <c r="B19" s="14">
        <v>38</v>
      </c>
      <c r="C19" s="52">
        <f t="shared" si="1"/>
        <v>1.4915</v>
      </c>
      <c r="D19" s="52">
        <f t="shared" si="1"/>
        <v>1.7898</v>
      </c>
      <c r="E19" s="52">
        <f t="shared" si="1"/>
        <v>1.93895</v>
      </c>
      <c r="F19" s="48">
        <f t="shared" si="1"/>
        <v>2.0881</v>
      </c>
      <c r="G19" s="52">
        <f t="shared" si="1"/>
        <v>2.3864</v>
      </c>
      <c r="H19" s="48">
        <f t="shared" si="1"/>
        <v>2.6847</v>
      </c>
      <c r="I19" s="52">
        <f t="shared" si="1"/>
        <v>2.983</v>
      </c>
      <c r="J19" s="48">
        <f t="shared" si="1"/>
        <v>3.2813</v>
      </c>
      <c r="K19" s="52">
        <f t="shared" si="1"/>
        <v>3.5796</v>
      </c>
      <c r="L19" s="52">
        <f t="shared" si="1"/>
        <v>3.8779</v>
      </c>
      <c r="M19" s="52">
        <f t="shared" si="1"/>
        <v>4.1762</v>
      </c>
      <c r="N19" s="52">
        <f t="shared" si="1"/>
        <v>4.4745</v>
      </c>
      <c r="O19" s="52">
        <f t="shared" si="1"/>
        <v>4.7728</v>
      </c>
      <c r="P19" s="48">
        <f t="shared" si="1"/>
        <v>5.0711</v>
      </c>
      <c r="Q19" s="48">
        <f t="shared" si="1"/>
        <v>5.3694</v>
      </c>
      <c r="R19" s="53">
        <f t="shared" si="1"/>
        <v>5.966</v>
      </c>
    </row>
    <row r="20" spans="2:18" ht="15" customHeight="1">
      <c r="B20" s="14">
        <v>40</v>
      </c>
      <c r="C20" s="52">
        <f t="shared" si="1"/>
        <v>1.57</v>
      </c>
      <c r="D20" s="52">
        <f t="shared" si="1"/>
        <v>1.884</v>
      </c>
      <c r="E20" s="52">
        <f t="shared" si="1"/>
        <v>2.041</v>
      </c>
      <c r="F20" s="52">
        <f t="shared" si="1"/>
        <v>2.198</v>
      </c>
      <c r="G20" s="52">
        <f t="shared" si="1"/>
        <v>2.512</v>
      </c>
      <c r="H20" s="52">
        <f t="shared" si="1"/>
        <v>2.826</v>
      </c>
      <c r="I20" s="52">
        <f t="shared" si="1"/>
        <v>3.14</v>
      </c>
      <c r="J20" s="48">
        <f t="shared" si="1"/>
        <v>3.454</v>
      </c>
      <c r="K20" s="52">
        <f t="shared" si="1"/>
        <v>3.768</v>
      </c>
      <c r="L20" s="52">
        <f t="shared" si="1"/>
        <v>4.082</v>
      </c>
      <c r="M20" s="52">
        <f t="shared" si="1"/>
        <v>4.396</v>
      </c>
      <c r="N20" s="52">
        <f t="shared" si="1"/>
        <v>4.71</v>
      </c>
      <c r="O20" s="52">
        <f t="shared" si="1"/>
        <v>5.024</v>
      </c>
      <c r="P20" s="48">
        <f t="shared" si="1"/>
        <v>5.338</v>
      </c>
      <c r="Q20" s="52">
        <f t="shared" si="1"/>
        <v>5.652</v>
      </c>
      <c r="R20" s="53">
        <f t="shared" si="1"/>
        <v>6.28</v>
      </c>
    </row>
    <row r="21" spans="2:18" ht="15" customHeight="1">
      <c r="B21" s="14">
        <v>45</v>
      </c>
      <c r="C21" s="52">
        <f t="shared" si="1"/>
        <v>1.76625</v>
      </c>
      <c r="D21" s="52">
        <f t="shared" si="1"/>
        <v>2.1195</v>
      </c>
      <c r="E21" s="52">
        <f t="shared" si="1"/>
        <v>2.296125</v>
      </c>
      <c r="F21" s="52">
        <f t="shared" si="1"/>
        <v>2.47275</v>
      </c>
      <c r="G21" s="52">
        <f t="shared" si="1"/>
        <v>2.826</v>
      </c>
      <c r="H21" s="48">
        <f t="shared" si="1"/>
        <v>3.17925</v>
      </c>
      <c r="I21" s="52">
        <f t="shared" si="1"/>
        <v>3.5325</v>
      </c>
      <c r="J21" s="48">
        <f t="shared" si="1"/>
        <v>3.88575</v>
      </c>
      <c r="K21" s="52">
        <f t="shared" si="1"/>
        <v>4.239</v>
      </c>
      <c r="L21" s="52">
        <f t="shared" si="1"/>
        <v>4.59225</v>
      </c>
      <c r="M21" s="52">
        <f t="shared" si="1"/>
        <v>4.9455</v>
      </c>
      <c r="N21" s="52">
        <f t="shared" si="1"/>
        <v>5.29875</v>
      </c>
      <c r="O21" s="52">
        <f t="shared" si="1"/>
        <v>5.652</v>
      </c>
      <c r="P21" s="48">
        <f t="shared" si="1"/>
        <v>6.00525</v>
      </c>
      <c r="Q21" s="48">
        <f t="shared" si="1"/>
        <v>6.3585</v>
      </c>
      <c r="R21" s="53">
        <f t="shared" si="1"/>
        <v>7.065</v>
      </c>
    </row>
    <row r="22" spans="2:18" ht="15" customHeight="1">
      <c r="B22" s="14">
        <v>50</v>
      </c>
      <c r="C22" s="52">
        <f t="shared" si="1"/>
        <v>1.9625</v>
      </c>
      <c r="D22" s="52">
        <f t="shared" si="1"/>
        <v>2.355</v>
      </c>
      <c r="E22" s="52">
        <f t="shared" si="1"/>
        <v>2.55125</v>
      </c>
      <c r="F22" s="52">
        <f t="shared" si="1"/>
        <v>2.7475</v>
      </c>
      <c r="G22" s="52">
        <f t="shared" si="1"/>
        <v>3.14</v>
      </c>
      <c r="H22" s="52">
        <f t="shared" si="1"/>
        <v>3.5325</v>
      </c>
      <c r="I22" s="52">
        <f t="shared" si="1"/>
        <v>3.925</v>
      </c>
      <c r="J22" s="48">
        <f t="shared" si="1"/>
        <v>4.3175</v>
      </c>
      <c r="K22" s="52">
        <f t="shared" si="1"/>
        <v>4.71</v>
      </c>
      <c r="L22" s="52">
        <f t="shared" si="1"/>
        <v>5.1025</v>
      </c>
      <c r="M22" s="52">
        <f t="shared" si="1"/>
        <v>5.495</v>
      </c>
      <c r="N22" s="52">
        <f t="shared" si="1"/>
        <v>5.8875</v>
      </c>
      <c r="O22" s="52">
        <f t="shared" si="1"/>
        <v>6.28</v>
      </c>
      <c r="P22" s="48">
        <f t="shared" si="1"/>
        <v>6.6725</v>
      </c>
      <c r="Q22" s="52">
        <f t="shared" si="1"/>
        <v>7.065</v>
      </c>
      <c r="R22" s="53">
        <f t="shared" si="1"/>
        <v>7.85</v>
      </c>
    </row>
    <row r="23" spans="2:18" ht="15" customHeight="1">
      <c r="B23" s="14">
        <v>55</v>
      </c>
      <c r="C23" s="52">
        <f aca="true" t="shared" si="2" ref="C23:R29">($B23*C$2*7850)/1000000</f>
        <v>2.15875</v>
      </c>
      <c r="D23" s="52">
        <f t="shared" si="2"/>
        <v>2.5905</v>
      </c>
      <c r="E23" s="52">
        <f t="shared" si="2"/>
        <v>2.806375</v>
      </c>
      <c r="F23" s="48">
        <f t="shared" si="2"/>
        <v>3.02225</v>
      </c>
      <c r="G23" s="52">
        <f t="shared" si="2"/>
        <v>3.454</v>
      </c>
      <c r="H23" s="48">
        <f t="shared" si="2"/>
        <v>3.88575</v>
      </c>
      <c r="I23" s="52">
        <f t="shared" si="2"/>
        <v>4.3175</v>
      </c>
      <c r="J23" s="48">
        <f t="shared" si="2"/>
        <v>4.74925</v>
      </c>
      <c r="K23" s="52">
        <f t="shared" si="2"/>
        <v>5.181</v>
      </c>
      <c r="L23" s="52">
        <f t="shared" si="2"/>
        <v>5.61275</v>
      </c>
      <c r="M23" s="52">
        <f t="shared" si="2"/>
        <v>6.0445</v>
      </c>
      <c r="N23" s="52">
        <f t="shared" si="2"/>
        <v>6.47625</v>
      </c>
      <c r="O23" s="52">
        <f t="shared" si="2"/>
        <v>6.908</v>
      </c>
      <c r="P23" s="48">
        <f t="shared" si="2"/>
        <v>7.33975</v>
      </c>
      <c r="Q23" s="52">
        <f t="shared" si="2"/>
        <v>7.7715</v>
      </c>
      <c r="R23" s="53">
        <f t="shared" si="2"/>
        <v>8.635</v>
      </c>
    </row>
    <row r="24" spans="2:18" ht="15" customHeight="1">
      <c r="B24" s="14">
        <v>60</v>
      </c>
      <c r="C24" s="52">
        <f t="shared" si="2"/>
        <v>2.355</v>
      </c>
      <c r="D24" s="52">
        <f t="shared" si="2"/>
        <v>2.826</v>
      </c>
      <c r="E24" s="52">
        <f t="shared" si="2"/>
        <v>3.0615</v>
      </c>
      <c r="F24" s="52">
        <f t="shared" si="2"/>
        <v>3.297</v>
      </c>
      <c r="G24" s="52">
        <f t="shared" si="2"/>
        <v>3.768</v>
      </c>
      <c r="H24" s="52">
        <f t="shared" si="2"/>
        <v>4.239</v>
      </c>
      <c r="I24" s="52">
        <f t="shared" si="2"/>
        <v>4.71</v>
      </c>
      <c r="J24" s="48">
        <f t="shared" si="2"/>
        <v>5.181</v>
      </c>
      <c r="K24" s="52">
        <f t="shared" si="2"/>
        <v>5.652</v>
      </c>
      <c r="L24" s="52">
        <f t="shared" si="2"/>
        <v>6.123</v>
      </c>
      <c r="M24" s="48">
        <f t="shared" si="2"/>
        <v>6.594</v>
      </c>
      <c r="N24" s="52">
        <f t="shared" si="2"/>
        <v>7.065</v>
      </c>
      <c r="O24" s="52">
        <f t="shared" si="2"/>
        <v>7.536</v>
      </c>
      <c r="P24" s="48">
        <f t="shared" si="2"/>
        <v>8.007</v>
      </c>
      <c r="Q24" s="52">
        <f t="shared" si="2"/>
        <v>8.478</v>
      </c>
      <c r="R24" s="53">
        <f t="shared" si="2"/>
        <v>9.42</v>
      </c>
    </row>
    <row r="25" spans="2:18" ht="15" customHeight="1">
      <c r="B25" s="14">
        <v>65</v>
      </c>
      <c r="C25" s="52">
        <f t="shared" si="2"/>
        <v>2.55125</v>
      </c>
      <c r="D25" s="52">
        <f t="shared" si="2"/>
        <v>3.0615</v>
      </c>
      <c r="E25" s="52">
        <f t="shared" si="2"/>
        <v>3.316625</v>
      </c>
      <c r="F25" s="48">
        <f t="shared" si="2"/>
        <v>3.57175</v>
      </c>
      <c r="G25" s="52">
        <f t="shared" si="2"/>
        <v>4.082</v>
      </c>
      <c r="H25" s="52">
        <f t="shared" si="2"/>
        <v>4.59225</v>
      </c>
      <c r="I25" s="52">
        <f t="shared" si="2"/>
        <v>5.1025</v>
      </c>
      <c r="J25" s="48">
        <f t="shared" si="2"/>
        <v>5.61275</v>
      </c>
      <c r="K25" s="52">
        <f t="shared" si="2"/>
        <v>6.123</v>
      </c>
      <c r="L25" s="52">
        <f t="shared" si="2"/>
        <v>6.63325</v>
      </c>
      <c r="M25" s="48">
        <f t="shared" si="2"/>
        <v>7.1435</v>
      </c>
      <c r="N25" s="52">
        <f t="shared" si="2"/>
        <v>7.65375</v>
      </c>
      <c r="O25" s="52">
        <f t="shared" si="2"/>
        <v>8.164</v>
      </c>
      <c r="P25" s="48">
        <f t="shared" si="2"/>
        <v>8.67425</v>
      </c>
      <c r="Q25" s="48">
        <f t="shared" si="2"/>
        <v>9.1845</v>
      </c>
      <c r="R25" s="53">
        <f t="shared" si="2"/>
        <v>10.205</v>
      </c>
    </row>
    <row r="26" spans="2:18" ht="15" customHeight="1">
      <c r="B26" s="14">
        <v>70</v>
      </c>
      <c r="C26" s="52">
        <f t="shared" si="2"/>
        <v>2.7475</v>
      </c>
      <c r="D26" s="52">
        <f t="shared" si="2"/>
        <v>3.297</v>
      </c>
      <c r="E26" s="52">
        <f t="shared" si="2"/>
        <v>3.57175</v>
      </c>
      <c r="F26" s="52">
        <f t="shared" si="2"/>
        <v>3.8465</v>
      </c>
      <c r="G26" s="52">
        <f t="shared" si="2"/>
        <v>4.396</v>
      </c>
      <c r="H26" s="48">
        <f t="shared" si="2"/>
        <v>4.9455</v>
      </c>
      <c r="I26" s="52">
        <f t="shared" si="2"/>
        <v>5.495</v>
      </c>
      <c r="J26" s="48">
        <f t="shared" si="2"/>
        <v>6.0445</v>
      </c>
      <c r="K26" s="52">
        <f t="shared" si="2"/>
        <v>6.594</v>
      </c>
      <c r="L26" s="52">
        <f t="shared" si="2"/>
        <v>7.1435</v>
      </c>
      <c r="M26" s="48">
        <f t="shared" si="2"/>
        <v>7.693</v>
      </c>
      <c r="N26" s="52">
        <f t="shared" si="2"/>
        <v>8.2425</v>
      </c>
      <c r="O26" s="52">
        <f t="shared" si="2"/>
        <v>8.792</v>
      </c>
      <c r="P26" s="48">
        <f t="shared" si="2"/>
        <v>9.3415</v>
      </c>
      <c r="Q26" s="52">
        <f t="shared" si="2"/>
        <v>9.891</v>
      </c>
      <c r="R26" s="53">
        <f t="shared" si="2"/>
        <v>10.99</v>
      </c>
    </row>
    <row r="27" spans="2:18" ht="15" customHeight="1">
      <c r="B27" s="14">
        <v>75</v>
      </c>
      <c r="C27" s="52">
        <f t="shared" si="2"/>
        <v>2.94375</v>
      </c>
      <c r="D27" s="52">
        <f t="shared" si="2"/>
        <v>3.5325</v>
      </c>
      <c r="E27" s="52">
        <f t="shared" si="2"/>
        <v>3.826875</v>
      </c>
      <c r="F27" s="48">
        <f t="shared" si="2"/>
        <v>4.12125</v>
      </c>
      <c r="G27" s="52">
        <f t="shared" si="2"/>
        <v>4.71</v>
      </c>
      <c r="H27" s="48">
        <f t="shared" si="2"/>
        <v>5.29875</v>
      </c>
      <c r="I27" s="52">
        <f t="shared" si="2"/>
        <v>5.8875</v>
      </c>
      <c r="J27" s="48">
        <f t="shared" si="2"/>
        <v>6.47625</v>
      </c>
      <c r="K27" s="52">
        <f t="shared" si="2"/>
        <v>7.065</v>
      </c>
      <c r="L27" s="52">
        <f t="shared" si="2"/>
        <v>7.65375</v>
      </c>
      <c r="M27" s="48">
        <f t="shared" si="2"/>
        <v>8.2425</v>
      </c>
      <c r="N27" s="52">
        <f t="shared" si="2"/>
        <v>8.83125</v>
      </c>
      <c r="O27" s="52">
        <f t="shared" si="2"/>
        <v>9.42</v>
      </c>
      <c r="P27" s="48">
        <f t="shared" si="2"/>
        <v>10.00875</v>
      </c>
      <c r="Q27" s="48">
        <f t="shared" si="2"/>
        <v>10.5975</v>
      </c>
      <c r="R27" s="53">
        <f t="shared" si="2"/>
        <v>11.775</v>
      </c>
    </row>
    <row r="28" spans="2:18" ht="15" customHeight="1">
      <c r="B28" s="14">
        <v>80</v>
      </c>
      <c r="C28" s="52">
        <f t="shared" si="2"/>
        <v>3.14</v>
      </c>
      <c r="D28" s="52">
        <f t="shared" si="2"/>
        <v>3.768</v>
      </c>
      <c r="E28" s="52">
        <f t="shared" si="2"/>
        <v>4.082</v>
      </c>
      <c r="F28" s="52">
        <f t="shared" si="2"/>
        <v>4.396</v>
      </c>
      <c r="G28" s="52">
        <f t="shared" si="2"/>
        <v>5.024</v>
      </c>
      <c r="H28" s="48">
        <f t="shared" si="2"/>
        <v>5.652</v>
      </c>
      <c r="I28" s="52">
        <f t="shared" si="2"/>
        <v>6.28</v>
      </c>
      <c r="J28" s="52">
        <f t="shared" si="2"/>
        <v>6.908</v>
      </c>
      <c r="K28" s="52">
        <f t="shared" si="2"/>
        <v>7.536</v>
      </c>
      <c r="L28" s="52">
        <f t="shared" si="2"/>
        <v>8.164</v>
      </c>
      <c r="M28" s="48">
        <f t="shared" si="2"/>
        <v>8.792</v>
      </c>
      <c r="N28" s="52">
        <f t="shared" si="2"/>
        <v>9.42</v>
      </c>
      <c r="O28" s="52">
        <f t="shared" si="2"/>
        <v>10.048</v>
      </c>
      <c r="P28" s="48">
        <f t="shared" si="2"/>
        <v>10.676</v>
      </c>
      <c r="Q28" s="48">
        <f t="shared" si="2"/>
        <v>11.304</v>
      </c>
      <c r="R28" s="53">
        <f t="shared" si="2"/>
        <v>12.56</v>
      </c>
    </row>
    <row r="29" spans="2:18" ht="15" customHeight="1">
      <c r="B29" s="14">
        <v>90</v>
      </c>
      <c r="C29" s="52">
        <f t="shared" si="2"/>
        <v>3.5325</v>
      </c>
      <c r="D29" s="52">
        <f t="shared" si="2"/>
        <v>4.239</v>
      </c>
      <c r="E29" s="52">
        <f t="shared" si="2"/>
        <v>4.59225</v>
      </c>
      <c r="F29" s="48">
        <f t="shared" si="2"/>
        <v>4.9455</v>
      </c>
      <c r="G29" s="52">
        <f t="shared" si="2"/>
        <v>5.652</v>
      </c>
      <c r="H29" s="52">
        <f t="shared" si="2"/>
        <v>6.3585</v>
      </c>
      <c r="I29" s="52">
        <f t="shared" si="2"/>
        <v>7.065</v>
      </c>
      <c r="J29" s="52">
        <f t="shared" si="2"/>
        <v>7.7715</v>
      </c>
      <c r="K29" s="52">
        <f t="shared" si="2"/>
        <v>8.478</v>
      </c>
      <c r="L29" s="52">
        <f t="shared" si="2"/>
        <v>9.1845</v>
      </c>
      <c r="M29" s="48">
        <f t="shared" si="2"/>
        <v>9.891</v>
      </c>
      <c r="N29" s="52">
        <f t="shared" si="2"/>
        <v>10.5975</v>
      </c>
      <c r="O29" s="52">
        <f t="shared" si="2"/>
        <v>11.304</v>
      </c>
      <c r="P29" s="48">
        <f t="shared" si="2"/>
        <v>12.0105</v>
      </c>
      <c r="Q29" s="52">
        <f t="shared" si="2"/>
        <v>12.717</v>
      </c>
      <c r="R29" s="53">
        <f t="shared" si="2"/>
        <v>14.13</v>
      </c>
    </row>
    <row r="30" spans="2:18" ht="15" customHeight="1">
      <c r="B30" s="14">
        <v>100</v>
      </c>
      <c r="C30" s="52">
        <f aca="true" t="shared" si="3" ref="C30:N30">($B30*C$2*7850)/1000000</f>
        <v>3.925</v>
      </c>
      <c r="D30" s="52">
        <f t="shared" si="3"/>
        <v>4.71</v>
      </c>
      <c r="E30" s="52">
        <f t="shared" si="3"/>
        <v>5.1025</v>
      </c>
      <c r="F30" s="48">
        <f t="shared" si="3"/>
        <v>5.495</v>
      </c>
      <c r="G30" s="52">
        <f t="shared" si="3"/>
        <v>6.28</v>
      </c>
      <c r="H30" s="48">
        <f t="shared" si="3"/>
        <v>7.065</v>
      </c>
      <c r="I30" s="52">
        <f t="shared" si="3"/>
        <v>7.85</v>
      </c>
      <c r="J30" s="52">
        <f t="shared" si="3"/>
        <v>8.635</v>
      </c>
      <c r="K30" s="52">
        <f t="shared" si="3"/>
        <v>9.42</v>
      </c>
      <c r="L30" s="52">
        <f t="shared" si="3"/>
        <v>10.205</v>
      </c>
      <c r="M30" s="52">
        <f t="shared" si="3"/>
        <v>10.99</v>
      </c>
      <c r="N30" s="52">
        <f t="shared" si="3"/>
        <v>11.775</v>
      </c>
      <c r="O30" s="52">
        <f aca="true" t="shared" si="4" ref="E30:R35">($B30*O$2*7850)/1000000</f>
        <v>12.56</v>
      </c>
      <c r="P30" s="48">
        <f t="shared" si="4"/>
        <v>13.345</v>
      </c>
      <c r="Q30" s="48">
        <f t="shared" si="4"/>
        <v>14.13</v>
      </c>
      <c r="R30" s="53">
        <f t="shared" si="4"/>
        <v>15.7</v>
      </c>
    </row>
    <row r="31" spans="2:18" ht="15" customHeight="1">
      <c r="B31" s="14">
        <v>110</v>
      </c>
      <c r="C31" s="48">
        <f aca="true" t="shared" si="5" ref="C31:D35">($B31*C$2*7850)/1000000</f>
        <v>4.3175</v>
      </c>
      <c r="D31" s="48">
        <f t="shared" si="5"/>
        <v>5.181</v>
      </c>
      <c r="E31" s="48">
        <f t="shared" si="4"/>
        <v>5.61275</v>
      </c>
      <c r="F31" s="48">
        <f t="shared" si="4"/>
        <v>6.0445</v>
      </c>
      <c r="G31" s="52">
        <f t="shared" si="4"/>
        <v>6.908</v>
      </c>
      <c r="H31" s="52">
        <f t="shared" si="4"/>
        <v>7.7715</v>
      </c>
      <c r="I31" s="52">
        <f t="shared" si="4"/>
        <v>8.635</v>
      </c>
      <c r="J31" s="52">
        <f t="shared" si="4"/>
        <v>9.4985</v>
      </c>
      <c r="K31" s="52">
        <f t="shared" si="4"/>
        <v>10.362</v>
      </c>
      <c r="L31" s="52">
        <f t="shared" si="4"/>
        <v>11.2255</v>
      </c>
      <c r="M31" s="52">
        <f t="shared" si="4"/>
        <v>12.089</v>
      </c>
      <c r="N31" s="52">
        <f t="shared" si="4"/>
        <v>12.9525</v>
      </c>
      <c r="O31" s="52">
        <f t="shared" si="4"/>
        <v>13.816</v>
      </c>
      <c r="P31" s="48">
        <f t="shared" si="4"/>
        <v>14.6795</v>
      </c>
      <c r="Q31" s="48">
        <f t="shared" si="4"/>
        <v>15.543</v>
      </c>
      <c r="R31" s="53">
        <f t="shared" si="4"/>
        <v>17.27</v>
      </c>
    </row>
    <row r="32" spans="2:18" ht="15" customHeight="1">
      <c r="B32" s="14">
        <v>120</v>
      </c>
      <c r="C32" s="48">
        <f t="shared" si="5"/>
        <v>4.71</v>
      </c>
      <c r="D32" s="48">
        <f t="shared" si="5"/>
        <v>5.652</v>
      </c>
      <c r="E32" s="48">
        <f t="shared" si="4"/>
        <v>6.123</v>
      </c>
      <c r="F32" s="48">
        <f t="shared" si="4"/>
        <v>6.594</v>
      </c>
      <c r="G32" s="52">
        <f t="shared" si="4"/>
        <v>7.536</v>
      </c>
      <c r="H32" s="52">
        <f t="shared" si="4"/>
        <v>8.478</v>
      </c>
      <c r="I32" s="52">
        <f t="shared" si="4"/>
        <v>9.42</v>
      </c>
      <c r="J32" s="52">
        <f t="shared" si="4"/>
        <v>10.362</v>
      </c>
      <c r="K32" s="52">
        <f t="shared" si="4"/>
        <v>11.304</v>
      </c>
      <c r="L32" s="52">
        <f t="shared" si="4"/>
        <v>12.246</v>
      </c>
      <c r="M32" s="48">
        <f t="shared" si="4"/>
        <v>13.188</v>
      </c>
      <c r="N32" s="52">
        <f t="shared" si="4"/>
        <v>14.13</v>
      </c>
      <c r="O32" s="52">
        <f t="shared" si="4"/>
        <v>15.072</v>
      </c>
      <c r="P32" s="48">
        <f t="shared" si="4"/>
        <v>16.014</v>
      </c>
      <c r="Q32" s="48">
        <f t="shared" si="4"/>
        <v>16.956</v>
      </c>
      <c r="R32" s="53">
        <f t="shared" si="4"/>
        <v>18.84</v>
      </c>
    </row>
    <row r="33" spans="2:18" ht="15" customHeight="1">
      <c r="B33" s="14">
        <v>130</v>
      </c>
      <c r="C33" s="48">
        <f t="shared" si="5"/>
        <v>5.1025</v>
      </c>
      <c r="D33" s="48">
        <f t="shared" si="5"/>
        <v>6.123</v>
      </c>
      <c r="E33" s="48">
        <f t="shared" si="4"/>
        <v>6.63325</v>
      </c>
      <c r="F33" s="48">
        <f t="shared" si="4"/>
        <v>7.1435</v>
      </c>
      <c r="G33" s="52">
        <f t="shared" si="4"/>
        <v>8.164</v>
      </c>
      <c r="H33" s="48">
        <f t="shared" si="4"/>
        <v>9.1845</v>
      </c>
      <c r="I33" s="52">
        <f t="shared" si="4"/>
        <v>10.205</v>
      </c>
      <c r="J33" s="52">
        <f t="shared" si="4"/>
        <v>11.2255</v>
      </c>
      <c r="K33" s="52">
        <f t="shared" si="4"/>
        <v>12.246</v>
      </c>
      <c r="L33" s="52">
        <f t="shared" si="4"/>
        <v>13.2665</v>
      </c>
      <c r="M33" s="52">
        <f t="shared" si="4"/>
        <v>14.287</v>
      </c>
      <c r="N33" s="52">
        <f t="shared" si="4"/>
        <v>15.3075</v>
      </c>
      <c r="O33" s="52">
        <f t="shared" si="4"/>
        <v>16.328</v>
      </c>
      <c r="P33" s="48">
        <f t="shared" si="4"/>
        <v>17.3485</v>
      </c>
      <c r="Q33" s="48">
        <f t="shared" si="4"/>
        <v>18.369</v>
      </c>
      <c r="R33" s="53">
        <f t="shared" si="4"/>
        <v>20.41</v>
      </c>
    </row>
    <row r="34" spans="2:18" ht="15" customHeight="1">
      <c r="B34" s="14">
        <v>140</v>
      </c>
      <c r="C34" s="48">
        <f t="shared" si="5"/>
        <v>5.495</v>
      </c>
      <c r="D34" s="48">
        <f t="shared" si="5"/>
        <v>6.594</v>
      </c>
      <c r="E34" s="48">
        <f t="shared" si="4"/>
        <v>7.1435</v>
      </c>
      <c r="F34" s="48">
        <f t="shared" si="4"/>
        <v>7.693</v>
      </c>
      <c r="G34" s="52">
        <f t="shared" si="4"/>
        <v>8.792</v>
      </c>
      <c r="H34" s="48">
        <f t="shared" si="4"/>
        <v>9.891</v>
      </c>
      <c r="I34" s="52">
        <f t="shared" si="4"/>
        <v>10.99</v>
      </c>
      <c r="J34" s="48">
        <f t="shared" si="4"/>
        <v>12.089</v>
      </c>
      <c r="K34" s="52">
        <f t="shared" si="4"/>
        <v>13.188</v>
      </c>
      <c r="L34" s="48">
        <f t="shared" si="4"/>
        <v>14.287</v>
      </c>
      <c r="M34" s="48">
        <f t="shared" si="4"/>
        <v>15.386</v>
      </c>
      <c r="N34" s="52">
        <f t="shared" si="4"/>
        <v>16.485</v>
      </c>
      <c r="O34" s="52">
        <f t="shared" si="4"/>
        <v>17.584</v>
      </c>
      <c r="P34" s="48">
        <f t="shared" si="4"/>
        <v>18.683</v>
      </c>
      <c r="Q34" s="48">
        <f t="shared" si="4"/>
        <v>19.782</v>
      </c>
      <c r="R34" s="53">
        <f t="shared" si="4"/>
        <v>21.98</v>
      </c>
    </row>
    <row r="35" spans="2:18" ht="15" customHeight="1" thickBot="1">
      <c r="B35" s="58">
        <v>150</v>
      </c>
      <c r="C35" s="49">
        <f t="shared" si="5"/>
        <v>5.8875</v>
      </c>
      <c r="D35" s="49">
        <f t="shared" si="5"/>
        <v>7.065</v>
      </c>
      <c r="E35" s="49">
        <f t="shared" si="4"/>
        <v>7.65375</v>
      </c>
      <c r="F35" s="49">
        <f t="shared" si="4"/>
        <v>8.2425</v>
      </c>
      <c r="G35" s="54">
        <f t="shared" si="4"/>
        <v>9.42</v>
      </c>
      <c r="H35" s="49">
        <f t="shared" si="4"/>
        <v>10.5975</v>
      </c>
      <c r="I35" s="54">
        <f t="shared" si="4"/>
        <v>11.775</v>
      </c>
      <c r="J35" s="54">
        <f t="shared" si="4"/>
        <v>12.9525</v>
      </c>
      <c r="K35" s="54">
        <f t="shared" si="4"/>
        <v>14.13</v>
      </c>
      <c r="L35" s="54">
        <f t="shared" si="4"/>
        <v>15.3075</v>
      </c>
      <c r="M35" s="54">
        <f t="shared" si="4"/>
        <v>16.485</v>
      </c>
      <c r="N35" s="54">
        <f t="shared" si="4"/>
        <v>17.6625</v>
      </c>
      <c r="O35" s="54">
        <f t="shared" si="4"/>
        <v>18.84</v>
      </c>
      <c r="P35" s="49">
        <f t="shared" si="4"/>
        <v>20.0175</v>
      </c>
      <c r="Q35" s="49">
        <f t="shared" si="4"/>
        <v>21.195</v>
      </c>
      <c r="R35" s="64">
        <f t="shared" si="4"/>
        <v>23.55</v>
      </c>
    </row>
    <row r="36" ht="15" customHeight="1" thickTop="1"/>
    <row r="37" ht="15" customHeight="1"/>
    <row r="38" ht="15" customHeight="1"/>
  </sheetData>
  <sheetProtection/>
  <mergeCells count="1">
    <mergeCell ref="B1:R1"/>
  </mergeCells>
  <printOptions/>
  <pageMargins left="0.9448818897637796" right="0.35433070866141736" top="0.984251968503937" bottom="0.3937007874015748" header="0.5118110236220472" footer="0.5118110236220472"/>
  <pageSetup orientation="portrait" paperSize="9" scale="76" r:id="rId1"/>
</worksheet>
</file>

<file path=xl/worksheets/sheet8.xml><?xml version="1.0" encoding="utf-8"?>
<worksheet xmlns="http://schemas.openxmlformats.org/spreadsheetml/2006/main" xmlns:r="http://schemas.openxmlformats.org/officeDocument/2006/relationships">
  <sheetPr>
    <tabColor indexed="20"/>
  </sheetPr>
  <dimension ref="B1:Z28"/>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B1" sqref="B1:Q1"/>
    </sheetView>
  </sheetViews>
  <sheetFormatPr defaultColWidth="9.00390625" defaultRowHeight="12.75"/>
  <cols>
    <col min="1" max="1" width="2.625" style="0" customWidth="1"/>
    <col min="2" max="2" width="8.625" style="0" customWidth="1"/>
    <col min="3" max="26" width="6.625" style="0" customWidth="1"/>
  </cols>
  <sheetData>
    <row r="1" spans="2:18" ht="19.5" customHeight="1" thickBot="1">
      <c r="B1" s="322" t="s">
        <v>49</v>
      </c>
      <c r="C1" s="322"/>
      <c r="D1" s="322"/>
      <c r="E1" s="322"/>
      <c r="F1" s="322"/>
      <c r="G1" s="322"/>
      <c r="H1" s="322"/>
      <c r="I1" s="322"/>
      <c r="J1" s="322"/>
      <c r="K1" s="322"/>
      <c r="L1" s="322"/>
      <c r="M1" s="322"/>
      <c r="N1" s="322"/>
      <c r="O1" s="322"/>
      <c r="P1" s="322"/>
      <c r="Q1" s="322"/>
      <c r="R1" s="47"/>
    </row>
    <row r="2" spans="2:26" ht="30" customHeight="1" thickTop="1">
      <c r="B2" s="56" t="s">
        <v>48</v>
      </c>
      <c r="C2" s="59">
        <v>5</v>
      </c>
      <c r="D2" s="59">
        <v>6</v>
      </c>
      <c r="E2" s="59">
        <v>6.5</v>
      </c>
      <c r="F2" s="59">
        <v>7</v>
      </c>
      <c r="G2" s="59">
        <v>8</v>
      </c>
      <c r="H2" s="59">
        <v>9</v>
      </c>
      <c r="I2" s="59">
        <v>10</v>
      </c>
      <c r="J2" s="59">
        <v>11</v>
      </c>
      <c r="K2" s="59">
        <v>12</v>
      </c>
      <c r="L2" s="59">
        <v>13</v>
      </c>
      <c r="M2" s="59">
        <v>14</v>
      </c>
      <c r="N2" s="59">
        <v>15</v>
      </c>
      <c r="O2" s="59">
        <v>16</v>
      </c>
      <c r="P2" s="59">
        <v>17</v>
      </c>
      <c r="Q2" s="59">
        <v>20</v>
      </c>
      <c r="R2" s="59">
        <v>22</v>
      </c>
      <c r="S2" s="60">
        <v>24</v>
      </c>
      <c r="T2" s="60">
        <v>27</v>
      </c>
      <c r="U2" s="60">
        <v>30</v>
      </c>
      <c r="V2" s="60">
        <v>32</v>
      </c>
      <c r="W2" s="60">
        <v>34</v>
      </c>
      <c r="X2" s="60">
        <v>42</v>
      </c>
      <c r="Y2" s="60">
        <v>48</v>
      </c>
      <c r="Z2" s="61">
        <v>53</v>
      </c>
    </row>
    <row r="3" spans="2:26" ht="15" customHeight="1">
      <c r="B3" s="57">
        <v>21.5</v>
      </c>
      <c r="C3" s="48">
        <f aca="true" t="shared" si="0" ref="C3:S18">($B3*C$2*7850)/1000000</f>
        <v>0.843875</v>
      </c>
      <c r="D3" s="48">
        <f t="shared" si="0"/>
        <v>1.01265</v>
      </c>
      <c r="E3" s="48">
        <f t="shared" si="0"/>
        <v>1.0970375</v>
      </c>
      <c r="F3" s="52">
        <f t="shared" si="0"/>
        <v>1.181425</v>
      </c>
      <c r="G3" s="48">
        <f t="shared" si="0"/>
        <v>1.3502</v>
      </c>
      <c r="H3" s="48">
        <f t="shared" si="0"/>
        <v>1.518975</v>
      </c>
      <c r="I3" s="52">
        <f t="shared" si="0"/>
        <v>1.68775</v>
      </c>
      <c r="J3" s="52">
        <f t="shared" si="0"/>
        <v>1.856525</v>
      </c>
      <c r="K3" s="52">
        <f t="shared" si="0"/>
        <v>2.0253</v>
      </c>
      <c r="L3" s="52">
        <f t="shared" si="0"/>
        <v>2.194075</v>
      </c>
      <c r="M3" s="52">
        <f t="shared" si="0"/>
        <v>2.36285</v>
      </c>
      <c r="N3" s="48">
        <f t="shared" si="0"/>
        <v>2.531625</v>
      </c>
      <c r="O3" s="48">
        <f t="shared" si="0"/>
        <v>2.7004</v>
      </c>
      <c r="P3" s="48">
        <f t="shared" si="0"/>
        <v>2.869175</v>
      </c>
      <c r="Q3" s="48">
        <f t="shared" si="0"/>
        <v>3.3755</v>
      </c>
      <c r="R3" s="48">
        <f t="shared" si="0"/>
        <v>3.71305</v>
      </c>
      <c r="S3" s="48">
        <f t="shared" si="0"/>
        <v>4.0506</v>
      </c>
      <c r="T3" s="48">
        <f aca="true" t="shared" si="1" ref="T3:Z18">($B3*T$2*7850)/1000000</f>
        <v>4.556925</v>
      </c>
      <c r="U3" s="48">
        <f t="shared" si="1"/>
        <v>5.06325</v>
      </c>
      <c r="V3" s="48">
        <f t="shared" si="1"/>
        <v>5.4008</v>
      </c>
      <c r="W3" s="48">
        <f t="shared" si="1"/>
        <v>5.73835</v>
      </c>
      <c r="X3" s="48">
        <f t="shared" si="1"/>
        <v>7.08855</v>
      </c>
      <c r="Y3" s="48">
        <f t="shared" si="1"/>
        <v>8.1012</v>
      </c>
      <c r="Z3" s="50">
        <f t="shared" si="1"/>
        <v>8.945075</v>
      </c>
    </row>
    <row r="4" spans="2:26" ht="15" customHeight="1">
      <c r="B4" s="14">
        <v>23.5</v>
      </c>
      <c r="C4" s="48">
        <f t="shared" si="0"/>
        <v>0.922375</v>
      </c>
      <c r="D4" s="48">
        <f t="shared" si="0"/>
        <v>1.10685</v>
      </c>
      <c r="E4" s="48">
        <f t="shared" si="0"/>
        <v>1.1990875</v>
      </c>
      <c r="F4" s="48">
        <f t="shared" si="0"/>
        <v>1.291325</v>
      </c>
      <c r="G4" s="48">
        <f t="shared" si="0"/>
        <v>1.4758</v>
      </c>
      <c r="H4" s="48">
        <f t="shared" si="0"/>
        <v>1.660275</v>
      </c>
      <c r="I4" s="52">
        <f t="shared" si="0"/>
        <v>1.84475</v>
      </c>
      <c r="J4" s="48">
        <f t="shared" si="0"/>
        <v>2.029225</v>
      </c>
      <c r="K4" s="52">
        <f t="shared" si="0"/>
        <v>2.2137</v>
      </c>
      <c r="L4" s="52">
        <f t="shared" si="0"/>
        <v>2.398175</v>
      </c>
      <c r="M4" s="48">
        <f t="shared" si="0"/>
        <v>2.58265</v>
      </c>
      <c r="N4" s="52">
        <f t="shared" si="0"/>
        <v>2.767125</v>
      </c>
      <c r="O4" s="48">
        <f t="shared" si="0"/>
        <v>2.9516</v>
      </c>
      <c r="P4" s="48">
        <f t="shared" si="0"/>
        <v>3.136075</v>
      </c>
      <c r="Q4" s="48">
        <f t="shared" si="0"/>
        <v>3.6895</v>
      </c>
      <c r="R4" s="48">
        <f t="shared" si="0"/>
        <v>4.05845</v>
      </c>
      <c r="S4" s="48">
        <f t="shared" si="0"/>
        <v>4.4274</v>
      </c>
      <c r="T4" s="48">
        <f t="shared" si="1"/>
        <v>4.980825</v>
      </c>
      <c r="U4" s="48">
        <f t="shared" si="1"/>
        <v>5.53425</v>
      </c>
      <c r="V4" s="48">
        <f t="shared" si="1"/>
        <v>5.9032</v>
      </c>
      <c r="W4" s="48">
        <f t="shared" si="1"/>
        <v>6.27215</v>
      </c>
      <c r="X4" s="48">
        <f t="shared" si="1"/>
        <v>7.74795</v>
      </c>
      <c r="Y4" s="48">
        <f t="shared" si="1"/>
        <v>8.8548</v>
      </c>
      <c r="Z4" s="50">
        <f t="shared" si="1"/>
        <v>9.777175</v>
      </c>
    </row>
    <row r="5" spans="2:26" ht="15" customHeight="1">
      <c r="B5" s="14">
        <v>26.5</v>
      </c>
      <c r="C5" s="48">
        <f t="shared" si="0"/>
        <v>1.040125</v>
      </c>
      <c r="D5" s="48">
        <f t="shared" si="0"/>
        <v>1.24815</v>
      </c>
      <c r="E5" s="48">
        <f t="shared" si="0"/>
        <v>1.3521625</v>
      </c>
      <c r="F5" s="48">
        <f t="shared" si="0"/>
        <v>1.456175</v>
      </c>
      <c r="G5" s="48">
        <f t="shared" si="0"/>
        <v>1.6642</v>
      </c>
      <c r="H5" s="52">
        <f t="shared" si="0"/>
        <v>1.872225</v>
      </c>
      <c r="I5" s="48">
        <f t="shared" si="0"/>
        <v>2.08025</v>
      </c>
      <c r="J5" s="52">
        <f t="shared" si="0"/>
        <v>2.288275</v>
      </c>
      <c r="K5" s="48">
        <f t="shared" si="0"/>
        <v>2.4963</v>
      </c>
      <c r="L5" s="48">
        <f t="shared" si="0"/>
        <v>2.704325</v>
      </c>
      <c r="M5" s="52">
        <f t="shared" si="0"/>
        <v>2.91235</v>
      </c>
      <c r="N5" s="48">
        <f t="shared" si="0"/>
        <v>3.120375</v>
      </c>
      <c r="O5" s="52">
        <f t="shared" si="0"/>
        <v>3.3284</v>
      </c>
      <c r="P5" s="48">
        <f t="shared" si="0"/>
        <v>3.536425</v>
      </c>
      <c r="Q5" s="48">
        <f t="shared" si="0"/>
        <v>4.1605</v>
      </c>
      <c r="R5" s="52">
        <f t="shared" si="0"/>
        <v>4.57655</v>
      </c>
      <c r="S5" s="48">
        <f t="shared" si="0"/>
        <v>4.9926</v>
      </c>
      <c r="T5" s="48">
        <f t="shared" si="1"/>
        <v>5.616675</v>
      </c>
      <c r="U5" s="48">
        <f t="shared" si="1"/>
        <v>6.24075</v>
      </c>
      <c r="V5" s="48">
        <f t="shared" si="1"/>
        <v>6.6568</v>
      </c>
      <c r="W5" s="48">
        <f t="shared" si="1"/>
        <v>7.07285</v>
      </c>
      <c r="X5" s="48">
        <f t="shared" si="1"/>
        <v>8.73705</v>
      </c>
      <c r="Y5" s="48">
        <f t="shared" si="1"/>
        <v>9.9852</v>
      </c>
      <c r="Z5" s="50">
        <f t="shared" si="1"/>
        <v>11.025325</v>
      </c>
    </row>
    <row r="6" spans="2:26" ht="15" customHeight="1">
      <c r="B6" s="14">
        <v>31.5</v>
      </c>
      <c r="C6" s="52">
        <f t="shared" si="0"/>
        <v>1.236375</v>
      </c>
      <c r="D6" s="52">
        <f t="shared" si="0"/>
        <v>1.48365</v>
      </c>
      <c r="E6" s="48">
        <f t="shared" si="0"/>
        <v>1.6072875</v>
      </c>
      <c r="F6" s="52">
        <f t="shared" si="0"/>
        <v>1.730925</v>
      </c>
      <c r="G6" s="48">
        <f t="shared" si="0"/>
        <v>1.9782</v>
      </c>
      <c r="H6" s="52">
        <f t="shared" si="0"/>
        <v>2.225475</v>
      </c>
      <c r="I6" s="48">
        <f t="shared" si="0"/>
        <v>2.47275</v>
      </c>
      <c r="J6" s="52">
        <f t="shared" si="0"/>
        <v>2.720025</v>
      </c>
      <c r="K6" s="48">
        <f t="shared" si="0"/>
        <v>2.9673</v>
      </c>
      <c r="L6" s="48">
        <f t="shared" si="0"/>
        <v>3.214575</v>
      </c>
      <c r="M6" s="48">
        <f t="shared" si="0"/>
        <v>3.46185</v>
      </c>
      <c r="N6" s="48">
        <f t="shared" si="0"/>
        <v>3.709125</v>
      </c>
      <c r="O6" s="48">
        <f t="shared" si="0"/>
        <v>3.9564</v>
      </c>
      <c r="P6" s="52">
        <f t="shared" si="0"/>
        <v>4.203675</v>
      </c>
      <c r="Q6" s="48">
        <f t="shared" si="0"/>
        <v>4.9455</v>
      </c>
      <c r="R6" s="48">
        <f t="shared" si="0"/>
        <v>5.44005</v>
      </c>
      <c r="S6" s="48">
        <f t="shared" si="0"/>
        <v>5.9346</v>
      </c>
      <c r="T6" s="48">
        <f t="shared" si="1"/>
        <v>6.676425</v>
      </c>
      <c r="U6" s="48">
        <f t="shared" si="1"/>
        <v>7.41825</v>
      </c>
      <c r="V6" s="48">
        <f t="shared" si="1"/>
        <v>7.9128</v>
      </c>
      <c r="W6" s="48">
        <f t="shared" si="1"/>
        <v>8.40735</v>
      </c>
      <c r="X6" s="48">
        <f t="shared" si="1"/>
        <v>10.38555</v>
      </c>
      <c r="Y6" s="48">
        <f t="shared" si="1"/>
        <v>11.8692</v>
      </c>
      <c r="Z6" s="50">
        <f t="shared" si="1"/>
        <v>13.105575</v>
      </c>
    </row>
    <row r="7" spans="2:26" ht="15" customHeight="1">
      <c r="B7" s="14">
        <v>33.5</v>
      </c>
      <c r="C7" s="48">
        <f t="shared" si="0"/>
        <v>1.314875</v>
      </c>
      <c r="D7" s="48">
        <f t="shared" si="0"/>
        <v>1.57785</v>
      </c>
      <c r="E7" s="48">
        <f t="shared" si="0"/>
        <v>1.7093375</v>
      </c>
      <c r="F7" s="48">
        <f t="shared" si="0"/>
        <v>1.840825</v>
      </c>
      <c r="G7" s="48">
        <f t="shared" si="0"/>
        <v>2.1038</v>
      </c>
      <c r="H7" s="48">
        <f t="shared" si="0"/>
        <v>2.366775</v>
      </c>
      <c r="I7" s="52">
        <f t="shared" si="0"/>
        <v>2.62975</v>
      </c>
      <c r="J7" s="48">
        <f t="shared" si="0"/>
        <v>2.892725</v>
      </c>
      <c r="K7" s="52">
        <f t="shared" si="0"/>
        <v>3.1557</v>
      </c>
      <c r="L7" s="48">
        <f t="shared" si="0"/>
        <v>3.418675</v>
      </c>
      <c r="M7" s="48">
        <f t="shared" si="0"/>
        <v>3.68165</v>
      </c>
      <c r="N7" s="48">
        <f t="shared" si="0"/>
        <v>3.944625</v>
      </c>
      <c r="O7" s="48">
        <f t="shared" si="0"/>
        <v>4.2076</v>
      </c>
      <c r="P7" s="52">
        <f t="shared" si="0"/>
        <v>4.470575</v>
      </c>
      <c r="Q7" s="52">
        <f t="shared" si="0"/>
        <v>5.2595</v>
      </c>
      <c r="R7" s="52">
        <f t="shared" si="0"/>
        <v>5.78545</v>
      </c>
      <c r="S7" s="48">
        <f t="shared" si="0"/>
        <v>6.3114</v>
      </c>
      <c r="T7" s="48">
        <f t="shared" si="1"/>
        <v>7.100325</v>
      </c>
      <c r="U7" s="48">
        <f t="shared" si="1"/>
        <v>7.88925</v>
      </c>
      <c r="V7" s="48">
        <f t="shared" si="1"/>
        <v>8.4152</v>
      </c>
      <c r="W7" s="48">
        <f t="shared" si="1"/>
        <v>8.94115</v>
      </c>
      <c r="X7" s="48">
        <f t="shared" si="1"/>
        <v>11.04495</v>
      </c>
      <c r="Y7" s="48">
        <f t="shared" si="1"/>
        <v>12.6228</v>
      </c>
      <c r="Z7" s="50">
        <f t="shared" si="1"/>
        <v>13.937675</v>
      </c>
    </row>
    <row r="8" spans="2:26" ht="15" customHeight="1">
      <c r="B8" s="14">
        <v>36.5</v>
      </c>
      <c r="C8" s="48">
        <f t="shared" si="0"/>
        <v>1.432625</v>
      </c>
      <c r="D8" s="52">
        <f t="shared" si="0"/>
        <v>1.71915</v>
      </c>
      <c r="E8" s="48">
        <f t="shared" si="0"/>
        <v>1.8624125</v>
      </c>
      <c r="F8" s="52">
        <f t="shared" si="0"/>
        <v>2.005675</v>
      </c>
      <c r="G8" s="48">
        <f t="shared" si="0"/>
        <v>2.2922</v>
      </c>
      <c r="H8" s="52">
        <f t="shared" si="0"/>
        <v>2.578725</v>
      </c>
      <c r="I8" s="48">
        <f t="shared" si="0"/>
        <v>2.86525</v>
      </c>
      <c r="J8" s="52">
        <f t="shared" si="0"/>
        <v>3.151775</v>
      </c>
      <c r="K8" s="48">
        <f t="shared" si="0"/>
        <v>3.4383</v>
      </c>
      <c r="L8" s="48">
        <f t="shared" si="0"/>
        <v>3.724825</v>
      </c>
      <c r="M8" s="52">
        <f t="shared" si="0"/>
        <v>4.01135</v>
      </c>
      <c r="N8" s="48">
        <f t="shared" si="0"/>
        <v>4.297875</v>
      </c>
      <c r="O8" s="48">
        <f t="shared" si="0"/>
        <v>4.5844</v>
      </c>
      <c r="P8" s="52">
        <f t="shared" si="0"/>
        <v>4.870925</v>
      </c>
      <c r="Q8" s="48">
        <f t="shared" si="0"/>
        <v>5.7305</v>
      </c>
      <c r="R8" s="52">
        <f t="shared" si="0"/>
        <v>6.30355</v>
      </c>
      <c r="S8" s="48">
        <f t="shared" si="0"/>
        <v>6.8766</v>
      </c>
      <c r="T8" s="52">
        <f t="shared" si="1"/>
        <v>7.736175</v>
      </c>
      <c r="U8" s="48">
        <f t="shared" si="1"/>
        <v>8.59575</v>
      </c>
      <c r="V8" s="48">
        <f t="shared" si="1"/>
        <v>9.1688</v>
      </c>
      <c r="W8" s="48">
        <f t="shared" si="1"/>
        <v>9.74185</v>
      </c>
      <c r="X8" s="48">
        <f t="shared" si="1"/>
        <v>12.03405</v>
      </c>
      <c r="Y8" s="48">
        <f t="shared" si="1"/>
        <v>13.7532</v>
      </c>
      <c r="Z8" s="50">
        <f t="shared" si="1"/>
        <v>15.185825</v>
      </c>
    </row>
    <row r="9" spans="2:26" ht="15" customHeight="1">
      <c r="B9" s="14">
        <v>41.5</v>
      </c>
      <c r="C9" s="48">
        <f t="shared" si="0"/>
        <v>1.628875</v>
      </c>
      <c r="D9" s="52">
        <f t="shared" si="0"/>
        <v>1.95465</v>
      </c>
      <c r="E9" s="48">
        <f t="shared" si="0"/>
        <v>2.1175375</v>
      </c>
      <c r="F9" s="52">
        <f t="shared" si="0"/>
        <v>2.280425</v>
      </c>
      <c r="G9" s="48">
        <f t="shared" si="0"/>
        <v>2.6062</v>
      </c>
      <c r="H9" s="52">
        <f t="shared" si="0"/>
        <v>2.931975</v>
      </c>
      <c r="I9" s="48">
        <f t="shared" si="0"/>
        <v>3.25775</v>
      </c>
      <c r="J9" s="52">
        <f t="shared" si="0"/>
        <v>3.583525</v>
      </c>
      <c r="K9" s="48">
        <f t="shared" si="0"/>
        <v>3.9093</v>
      </c>
      <c r="L9" s="48">
        <f t="shared" si="0"/>
        <v>4.235075</v>
      </c>
      <c r="M9" s="52">
        <f t="shared" si="0"/>
        <v>4.56085</v>
      </c>
      <c r="N9" s="48">
        <f t="shared" si="0"/>
        <v>4.886625</v>
      </c>
      <c r="O9" s="48">
        <f t="shared" si="0"/>
        <v>5.2124</v>
      </c>
      <c r="P9" s="52">
        <f t="shared" si="0"/>
        <v>5.538175</v>
      </c>
      <c r="Q9" s="48">
        <f t="shared" si="0"/>
        <v>6.5155</v>
      </c>
      <c r="R9" s="52">
        <f t="shared" si="0"/>
        <v>7.16705</v>
      </c>
      <c r="S9" s="52">
        <f t="shared" si="0"/>
        <v>7.8186</v>
      </c>
      <c r="T9" s="52">
        <f t="shared" si="1"/>
        <v>8.795925</v>
      </c>
      <c r="U9" s="48">
        <f t="shared" si="1"/>
        <v>9.77325</v>
      </c>
      <c r="V9" s="52">
        <f t="shared" si="1"/>
        <v>10.4248</v>
      </c>
      <c r="W9" s="52">
        <f t="shared" si="1"/>
        <v>11.07635</v>
      </c>
      <c r="X9" s="48">
        <f t="shared" si="1"/>
        <v>13.68255</v>
      </c>
      <c r="Y9" s="48">
        <f t="shared" si="1"/>
        <v>15.6372</v>
      </c>
      <c r="Z9" s="50">
        <f t="shared" si="1"/>
        <v>17.266075</v>
      </c>
    </row>
    <row r="10" spans="2:26" ht="15" customHeight="1">
      <c r="B10" s="14">
        <v>45</v>
      </c>
      <c r="C10" s="48">
        <f t="shared" si="0"/>
        <v>1.76625</v>
      </c>
      <c r="D10" s="48">
        <f t="shared" si="0"/>
        <v>2.1195</v>
      </c>
      <c r="E10" s="48">
        <f t="shared" si="0"/>
        <v>2.296125</v>
      </c>
      <c r="F10" s="48">
        <f t="shared" si="0"/>
        <v>2.47275</v>
      </c>
      <c r="G10" s="48">
        <f t="shared" si="0"/>
        <v>2.826</v>
      </c>
      <c r="H10" s="48">
        <f t="shared" si="0"/>
        <v>3.17925</v>
      </c>
      <c r="I10" s="48">
        <f t="shared" si="0"/>
        <v>3.5325</v>
      </c>
      <c r="J10" s="48">
        <f t="shared" si="0"/>
        <v>3.88575</v>
      </c>
      <c r="K10" s="48">
        <f t="shared" si="0"/>
        <v>4.239</v>
      </c>
      <c r="L10" s="48">
        <f t="shared" si="0"/>
        <v>4.59225</v>
      </c>
      <c r="M10" s="48">
        <f t="shared" si="0"/>
        <v>4.9455</v>
      </c>
      <c r="N10" s="48">
        <f t="shared" si="0"/>
        <v>5.29875</v>
      </c>
      <c r="O10" s="48">
        <f t="shared" si="0"/>
        <v>5.652</v>
      </c>
      <c r="P10" s="48">
        <f t="shared" si="0"/>
        <v>6.00525</v>
      </c>
      <c r="Q10" s="48">
        <f t="shared" si="0"/>
        <v>7.065</v>
      </c>
      <c r="R10" s="48">
        <f t="shared" si="0"/>
        <v>7.7715</v>
      </c>
      <c r="S10" s="48">
        <f t="shared" si="0"/>
        <v>8.478</v>
      </c>
      <c r="T10" s="52">
        <f t="shared" si="1"/>
        <v>9.53775</v>
      </c>
      <c r="U10" s="48">
        <f t="shared" si="1"/>
        <v>10.5975</v>
      </c>
      <c r="V10" s="48">
        <f t="shared" si="1"/>
        <v>11.304</v>
      </c>
      <c r="W10" s="48">
        <f t="shared" si="1"/>
        <v>12.0105</v>
      </c>
      <c r="X10" s="48">
        <f t="shared" si="1"/>
        <v>14.8365</v>
      </c>
      <c r="Y10" s="48">
        <f t="shared" si="1"/>
        <v>16.956</v>
      </c>
      <c r="Z10" s="50">
        <f t="shared" si="1"/>
        <v>18.72225</v>
      </c>
    </row>
    <row r="11" spans="2:26" ht="15" customHeight="1">
      <c r="B11" s="14">
        <v>46.5</v>
      </c>
      <c r="C11" s="48">
        <f t="shared" si="0"/>
        <v>1.825125</v>
      </c>
      <c r="D11" s="52">
        <f t="shared" si="0"/>
        <v>2.19015</v>
      </c>
      <c r="E11" s="48">
        <f t="shared" si="0"/>
        <v>2.3726625</v>
      </c>
      <c r="F11" s="52">
        <f t="shared" si="0"/>
        <v>2.555175</v>
      </c>
      <c r="G11" s="48">
        <f t="shared" si="0"/>
        <v>2.9202</v>
      </c>
      <c r="H11" s="52">
        <f t="shared" si="0"/>
        <v>3.285225</v>
      </c>
      <c r="I11" s="48">
        <f t="shared" si="0"/>
        <v>3.65025</v>
      </c>
      <c r="J11" s="52">
        <f t="shared" si="0"/>
        <v>4.015275</v>
      </c>
      <c r="K11" s="48">
        <f t="shared" si="0"/>
        <v>4.3803</v>
      </c>
      <c r="L11" s="48">
        <f t="shared" si="0"/>
        <v>4.745325</v>
      </c>
      <c r="M11" s="52">
        <f t="shared" si="0"/>
        <v>5.11035</v>
      </c>
      <c r="N11" s="48">
        <f t="shared" si="0"/>
        <v>5.475375</v>
      </c>
      <c r="O11" s="48">
        <f t="shared" si="0"/>
        <v>5.8404</v>
      </c>
      <c r="P11" s="52">
        <f t="shared" si="0"/>
        <v>6.205425</v>
      </c>
      <c r="Q11" s="48">
        <f t="shared" si="0"/>
        <v>7.3005</v>
      </c>
      <c r="R11" s="52">
        <f t="shared" si="0"/>
        <v>8.03055</v>
      </c>
      <c r="S11" s="48">
        <f t="shared" si="0"/>
        <v>8.7606</v>
      </c>
      <c r="T11" s="52">
        <f t="shared" si="1"/>
        <v>9.855675</v>
      </c>
      <c r="U11" s="48">
        <f t="shared" si="1"/>
        <v>10.95075</v>
      </c>
      <c r="V11" s="48">
        <f t="shared" si="1"/>
        <v>11.6808</v>
      </c>
      <c r="W11" s="52">
        <f t="shared" si="1"/>
        <v>12.41085</v>
      </c>
      <c r="X11" s="48">
        <f t="shared" si="1"/>
        <v>15.33105</v>
      </c>
      <c r="Y11" s="48">
        <f t="shared" si="1"/>
        <v>17.5212</v>
      </c>
      <c r="Z11" s="50">
        <f t="shared" si="1"/>
        <v>19.346325</v>
      </c>
    </row>
    <row r="12" spans="2:26" ht="15" customHeight="1">
      <c r="B12" s="14">
        <v>48</v>
      </c>
      <c r="C12" s="48">
        <f t="shared" si="0"/>
        <v>1.884</v>
      </c>
      <c r="D12" s="48">
        <f t="shared" si="0"/>
        <v>2.2608</v>
      </c>
      <c r="E12" s="48">
        <f t="shared" si="0"/>
        <v>2.4492</v>
      </c>
      <c r="F12" s="48">
        <f t="shared" si="0"/>
        <v>2.6376</v>
      </c>
      <c r="G12" s="48">
        <f t="shared" si="0"/>
        <v>3.0144</v>
      </c>
      <c r="H12" s="48">
        <f t="shared" si="0"/>
        <v>3.3912</v>
      </c>
      <c r="I12" s="48">
        <f t="shared" si="0"/>
        <v>3.768</v>
      </c>
      <c r="J12" s="48">
        <f t="shared" si="0"/>
        <v>4.1448</v>
      </c>
      <c r="K12" s="48">
        <f t="shared" si="0"/>
        <v>4.5216</v>
      </c>
      <c r="L12" s="48">
        <f t="shared" si="0"/>
        <v>4.8984</v>
      </c>
      <c r="M12" s="48">
        <f t="shared" si="0"/>
        <v>5.2752</v>
      </c>
      <c r="N12" s="48">
        <f t="shared" si="0"/>
        <v>5.652</v>
      </c>
      <c r="O12" s="48">
        <f t="shared" si="0"/>
        <v>6.0288</v>
      </c>
      <c r="P12" s="48">
        <f t="shared" si="0"/>
        <v>6.4056</v>
      </c>
      <c r="Q12" s="52">
        <f t="shared" si="0"/>
        <v>7.536</v>
      </c>
      <c r="R12" s="48">
        <f t="shared" si="0"/>
        <v>8.2896</v>
      </c>
      <c r="S12" s="48">
        <f t="shared" si="0"/>
        <v>9.0432</v>
      </c>
      <c r="T12" s="48">
        <f t="shared" si="1"/>
        <v>10.1736</v>
      </c>
      <c r="U12" s="48">
        <f t="shared" si="1"/>
        <v>11.304</v>
      </c>
      <c r="V12" s="48">
        <f t="shared" si="1"/>
        <v>12.0576</v>
      </c>
      <c r="W12" s="48">
        <f t="shared" si="1"/>
        <v>12.8112</v>
      </c>
      <c r="X12" s="48">
        <f t="shared" si="1"/>
        <v>15.8256</v>
      </c>
      <c r="Y12" s="48">
        <f t="shared" si="1"/>
        <v>18.0864</v>
      </c>
      <c r="Z12" s="50">
        <f t="shared" si="1"/>
        <v>19.9704</v>
      </c>
    </row>
    <row r="13" spans="2:26" ht="15" customHeight="1">
      <c r="B13" s="14">
        <v>50</v>
      </c>
      <c r="C13" s="48">
        <f aca="true" t="shared" si="2" ref="C13:Q22">($B13*C$2*7850)/1000000</f>
        <v>1.9625</v>
      </c>
      <c r="D13" s="48">
        <f t="shared" si="2"/>
        <v>2.355</v>
      </c>
      <c r="E13" s="48">
        <f t="shared" si="2"/>
        <v>2.55125</v>
      </c>
      <c r="F13" s="48">
        <f t="shared" si="2"/>
        <v>2.7475</v>
      </c>
      <c r="G13" s="48">
        <f t="shared" si="2"/>
        <v>3.14</v>
      </c>
      <c r="H13" s="48">
        <f t="shared" si="2"/>
        <v>3.5325</v>
      </c>
      <c r="I13" s="48">
        <f t="shared" si="2"/>
        <v>3.925</v>
      </c>
      <c r="J13" s="48">
        <f t="shared" si="2"/>
        <v>4.3175</v>
      </c>
      <c r="K13" s="48">
        <f t="shared" si="2"/>
        <v>4.71</v>
      </c>
      <c r="L13" s="48">
        <f t="shared" si="2"/>
        <v>5.1025</v>
      </c>
      <c r="M13" s="48">
        <f t="shared" si="2"/>
        <v>5.495</v>
      </c>
      <c r="N13" s="48">
        <f t="shared" si="2"/>
        <v>5.8875</v>
      </c>
      <c r="O13" s="48">
        <f t="shared" si="2"/>
        <v>6.28</v>
      </c>
      <c r="P13" s="48">
        <f t="shared" si="2"/>
        <v>6.6725</v>
      </c>
      <c r="Q13" s="48">
        <f t="shared" si="2"/>
        <v>7.85</v>
      </c>
      <c r="R13" s="48">
        <f t="shared" si="0"/>
        <v>8.635</v>
      </c>
      <c r="S13" s="48">
        <f t="shared" si="0"/>
        <v>9.42</v>
      </c>
      <c r="T13" s="48">
        <f t="shared" si="1"/>
        <v>10.5975</v>
      </c>
      <c r="U13" s="48">
        <f t="shared" si="1"/>
        <v>11.775</v>
      </c>
      <c r="V13" s="52">
        <f t="shared" si="1"/>
        <v>12.56</v>
      </c>
      <c r="W13" s="48">
        <f t="shared" si="1"/>
        <v>13.345</v>
      </c>
      <c r="X13" s="48">
        <f t="shared" si="1"/>
        <v>16.485</v>
      </c>
      <c r="Y13" s="48">
        <f t="shared" si="1"/>
        <v>18.84</v>
      </c>
      <c r="Z13" s="50">
        <f t="shared" si="1"/>
        <v>20.8025</v>
      </c>
    </row>
    <row r="14" spans="2:26" ht="15" customHeight="1">
      <c r="B14" s="14">
        <v>51.5</v>
      </c>
      <c r="C14" s="48">
        <f t="shared" si="2"/>
        <v>2.021375</v>
      </c>
      <c r="D14" s="52">
        <f t="shared" si="2"/>
        <v>2.42565</v>
      </c>
      <c r="E14" s="48">
        <f t="shared" si="2"/>
        <v>2.6277875</v>
      </c>
      <c r="F14" s="52">
        <f t="shared" si="2"/>
        <v>2.829925</v>
      </c>
      <c r="G14" s="48">
        <f t="shared" si="2"/>
        <v>3.2342</v>
      </c>
      <c r="H14" s="52">
        <f t="shared" si="2"/>
        <v>3.638475</v>
      </c>
      <c r="I14" s="48">
        <f t="shared" si="2"/>
        <v>4.04275</v>
      </c>
      <c r="J14" s="52">
        <f t="shared" si="2"/>
        <v>4.447025</v>
      </c>
      <c r="K14" s="48">
        <f t="shared" si="2"/>
        <v>4.8513</v>
      </c>
      <c r="L14" s="48">
        <f t="shared" si="2"/>
        <v>5.255575</v>
      </c>
      <c r="M14" s="52">
        <f t="shared" si="2"/>
        <v>5.65985</v>
      </c>
      <c r="N14" s="48">
        <f t="shared" si="2"/>
        <v>6.064125</v>
      </c>
      <c r="O14" s="48">
        <f t="shared" si="2"/>
        <v>6.4684</v>
      </c>
      <c r="P14" s="52">
        <f t="shared" si="2"/>
        <v>6.872675</v>
      </c>
      <c r="Q14" s="48">
        <f t="shared" si="2"/>
        <v>8.0855</v>
      </c>
      <c r="R14" s="52">
        <f t="shared" si="0"/>
        <v>8.89405</v>
      </c>
      <c r="S14" s="48">
        <f t="shared" si="0"/>
        <v>9.7026</v>
      </c>
      <c r="T14" s="52">
        <f t="shared" si="1"/>
        <v>10.915425</v>
      </c>
      <c r="U14" s="52">
        <f t="shared" si="1"/>
        <v>12.12825</v>
      </c>
      <c r="V14" s="52">
        <f t="shared" si="1"/>
        <v>12.9368</v>
      </c>
      <c r="W14" s="52">
        <f t="shared" si="1"/>
        <v>13.74535</v>
      </c>
      <c r="X14" s="48">
        <f t="shared" si="1"/>
        <v>16.97955</v>
      </c>
      <c r="Y14" s="48">
        <f t="shared" si="1"/>
        <v>19.4052</v>
      </c>
      <c r="Z14" s="50">
        <f t="shared" si="1"/>
        <v>21.426575</v>
      </c>
    </row>
    <row r="15" spans="2:26" ht="15" customHeight="1">
      <c r="B15" s="14">
        <v>55</v>
      </c>
      <c r="C15" s="48">
        <f t="shared" si="2"/>
        <v>2.15875</v>
      </c>
      <c r="D15" s="48">
        <f t="shared" si="2"/>
        <v>2.5905</v>
      </c>
      <c r="E15" s="48">
        <f t="shared" si="2"/>
        <v>2.806375</v>
      </c>
      <c r="F15" s="48">
        <f t="shared" si="2"/>
        <v>3.02225</v>
      </c>
      <c r="G15" s="48">
        <f t="shared" si="2"/>
        <v>3.454</v>
      </c>
      <c r="H15" s="48">
        <f t="shared" si="2"/>
        <v>3.88575</v>
      </c>
      <c r="I15" s="48">
        <f t="shared" si="2"/>
        <v>4.3175</v>
      </c>
      <c r="J15" s="48">
        <f t="shared" si="2"/>
        <v>4.74925</v>
      </c>
      <c r="K15" s="48">
        <f t="shared" si="2"/>
        <v>5.181</v>
      </c>
      <c r="L15" s="48">
        <f t="shared" si="2"/>
        <v>5.61275</v>
      </c>
      <c r="M15" s="48">
        <f t="shared" si="2"/>
        <v>6.0445</v>
      </c>
      <c r="N15" s="48">
        <f t="shared" si="2"/>
        <v>6.47625</v>
      </c>
      <c r="O15" s="48">
        <f t="shared" si="2"/>
        <v>6.908</v>
      </c>
      <c r="P15" s="48">
        <f t="shared" si="2"/>
        <v>7.33975</v>
      </c>
      <c r="Q15" s="48">
        <f t="shared" si="2"/>
        <v>8.635</v>
      </c>
      <c r="R15" s="48">
        <f t="shared" si="0"/>
        <v>9.4985</v>
      </c>
      <c r="S15" s="48">
        <f t="shared" si="0"/>
        <v>10.362</v>
      </c>
      <c r="T15" s="48">
        <f t="shared" si="1"/>
        <v>11.65725</v>
      </c>
      <c r="U15" s="48">
        <f t="shared" si="1"/>
        <v>12.9525</v>
      </c>
      <c r="V15" s="48">
        <f t="shared" si="1"/>
        <v>13.816</v>
      </c>
      <c r="W15" s="52">
        <f t="shared" si="1"/>
        <v>14.6795</v>
      </c>
      <c r="X15" s="48">
        <f t="shared" si="1"/>
        <v>18.1335</v>
      </c>
      <c r="Y15" s="48">
        <f t="shared" si="1"/>
        <v>20.724</v>
      </c>
      <c r="Z15" s="50">
        <f t="shared" si="1"/>
        <v>22.88275</v>
      </c>
    </row>
    <row r="16" spans="2:26" ht="15" customHeight="1">
      <c r="B16" s="14">
        <v>56.5</v>
      </c>
      <c r="C16" s="48">
        <f t="shared" si="2"/>
        <v>2.217625</v>
      </c>
      <c r="D16" s="48">
        <f t="shared" si="2"/>
        <v>2.66115</v>
      </c>
      <c r="E16" s="48">
        <f t="shared" si="2"/>
        <v>2.8829125</v>
      </c>
      <c r="F16" s="52">
        <f t="shared" si="2"/>
        <v>3.104675</v>
      </c>
      <c r="G16" s="48">
        <f t="shared" si="2"/>
        <v>3.5482</v>
      </c>
      <c r="H16" s="52">
        <f t="shared" si="2"/>
        <v>3.991725</v>
      </c>
      <c r="I16" s="48">
        <f t="shared" si="2"/>
        <v>4.43525</v>
      </c>
      <c r="J16" s="52">
        <f t="shared" si="2"/>
        <v>4.878775</v>
      </c>
      <c r="K16" s="48">
        <f t="shared" si="2"/>
        <v>5.3223</v>
      </c>
      <c r="L16" s="48">
        <f t="shared" si="2"/>
        <v>5.765825</v>
      </c>
      <c r="M16" s="52">
        <f t="shared" si="2"/>
        <v>6.20935</v>
      </c>
      <c r="N16" s="48">
        <f t="shared" si="2"/>
        <v>6.652875</v>
      </c>
      <c r="O16" s="48">
        <f t="shared" si="2"/>
        <v>7.0964</v>
      </c>
      <c r="P16" s="52">
        <f t="shared" si="2"/>
        <v>7.539925</v>
      </c>
      <c r="Q16" s="48">
        <f t="shared" si="2"/>
        <v>8.8705</v>
      </c>
      <c r="R16" s="52">
        <f t="shared" si="0"/>
        <v>9.75755</v>
      </c>
      <c r="S16" s="48">
        <f t="shared" si="0"/>
        <v>10.6446</v>
      </c>
      <c r="T16" s="48">
        <f t="shared" si="1"/>
        <v>11.975175</v>
      </c>
      <c r="U16" s="48">
        <f t="shared" si="1"/>
        <v>13.30575</v>
      </c>
      <c r="V16" s="48">
        <f t="shared" si="1"/>
        <v>14.1928</v>
      </c>
      <c r="W16" s="48">
        <f t="shared" si="1"/>
        <v>15.07985</v>
      </c>
      <c r="X16" s="48">
        <f t="shared" si="1"/>
        <v>18.62805</v>
      </c>
      <c r="Y16" s="48">
        <f t="shared" si="1"/>
        <v>21.2892</v>
      </c>
      <c r="Z16" s="50">
        <f t="shared" si="1"/>
        <v>23.506825</v>
      </c>
    </row>
    <row r="17" spans="2:26" ht="15" customHeight="1">
      <c r="B17" s="14">
        <v>57</v>
      </c>
      <c r="C17" s="48">
        <f t="shared" si="2"/>
        <v>2.23725</v>
      </c>
      <c r="D17" s="48">
        <f t="shared" si="2"/>
        <v>2.6847</v>
      </c>
      <c r="E17" s="48">
        <f t="shared" si="2"/>
        <v>2.908425</v>
      </c>
      <c r="F17" s="48">
        <f t="shared" si="2"/>
        <v>3.13215</v>
      </c>
      <c r="G17" s="48">
        <f t="shared" si="2"/>
        <v>3.5796</v>
      </c>
      <c r="H17" s="48">
        <f t="shared" si="2"/>
        <v>4.02705</v>
      </c>
      <c r="I17" s="48">
        <f t="shared" si="2"/>
        <v>4.4745</v>
      </c>
      <c r="J17" s="48">
        <f t="shared" si="2"/>
        <v>4.92195</v>
      </c>
      <c r="K17" s="48">
        <f t="shared" si="2"/>
        <v>5.3694</v>
      </c>
      <c r="L17" s="48">
        <f t="shared" si="2"/>
        <v>5.81685</v>
      </c>
      <c r="M17" s="48">
        <f t="shared" si="2"/>
        <v>6.2643</v>
      </c>
      <c r="N17" s="52">
        <f t="shared" si="2"/>
        <v>6.71175</v>
      </c>
      <c r="O17" s="48">
        <f t="shared" si="2"/>
        <v>7.1592</v>
      </c>
      <c r="P17" s="48">
        <f t="shared" si="2"/>
        <v>7.60665</v>
      </c>
      <c r="Q17" s="48">
        <f t="shared" si="2"/>
        <v>8.949</v>
      </c>
      <c r="R17" s="48">
        <f t="shared" si="0"/>
        <v>9.8439</v>
      </c>
      <c r="S17" s="48">
        <f t="shared" si="0"/>
        <v>10.7388</v>
      </c>
      <c r="T17" s="48">
        <f t="shared" si="1"/>
        <v>12.08115</v>
      </c>
      <c r="U17" s="48">
        <f t="shared" si="1"/>
        <v>13.4235</v>
      </c>
      <c r="V17" s="48">
        <f t="shared" si="1"/>
        <v>14.3184</v>
      </c>
      <c r="W17" s="52">
        <f t="shared" si="1"/>
        <v>15.2133</v>
      </c>
      <c r="X17" s="48">
        <f t="shared" si="1"/>
        <v>18.7929</v>
      </c>
      <c r="Y17" s="48">
        <f t="shared" si="1"/>
        <v>21.4776</v>
      </c>
      <c r="Z17" s="50">
        <f t="shared" si="1"/>
        <v>23.71485</v>
      </c>
    </row>
    <row r="18" spans="2:26" ht="15" customHeight="1">
      <c r="B18" s="14">
        <v>61.5</v>
      </c>
      <c r="C18" s="48">
        <f t="shared" si="2"/>
        <v>2.413875</v>
      </c>
      <c r="D18" s="52">
        <f t="shared" si="2"/>
        <v>2.89665</v>
      </c>
      <c r="E18" s="48">
        <f t="shared" si="2"/>
        <v>3.1380375</v>
      </c>
      <c r="F18" s="52">
        <f t="shared" si="2"/>
        <v>3.379425</v>
      </c>
      <c r="G18" s="48">
        <f t="shared" si="2"/>
        <v>3.8622</v>
      </c>
      <c r="H18" s="52">
        <f t="shared" si="2"/>
        <v>4.344975</v>
      </c>
      <c r="I18" s="48">
        <f t="shared" si="2"/>
        <v>4.82775</v>
      </c>
      <c r="J18" s="48">
        <f t="shared" si="2"/>
        <v>5.310525</v>
      </c>
      <c r="K18" s="52">
        <f t="shared" si="2"/>
        <v>5.7933</v>
      </c>
      <c r="L18" s="48">
        <f t="shared" si="2"/>
        <v>6.276075</v>
      </c>
      <c r="M18" s="52">
        <f t="shared" si="2"/>
        <v>6.75885</v>
      </c>
      <c r="N18" s="48">
        <f t="shared" si="2"/>
        <v>7.241625</v>
      </c>
      <c r="O18" s="48">
        <f t="shared" si="2"/>
        <v>7.7244</v>
      </c>
      <c r="P18" s="52">
        <f t="shared" si="2"/>
        <v>8.207175</v>
      </c>
      <c r="Q18" s="48">
        <f t="shared" si="2"/>
        <v>9.6555</v>
      </c>
      <c r="R18" s="52">
        <f t="shared" si="0"/>
        <v>10.62105</v>
      </c>
      <c r="S18" s="48">
        <f t="shared" si="0"/>
        <v>11.5866</v>
      </c>
      <c r="T18" s="52">
        <f t="shared" si="1"/>
        <v>13.034925</v>
      </c>
      <c r="U18" s="48">
        <f t="shared" si="1"/>
        <v>14.48325</v>
      </c>
      <c r="V18" s="52">
        <f t="shared" si="1"/>
        <v>15.4488</v>
      </c>
      <c r="W18" s="48">
        <f t="shared" si="1"/>
        <v>16.41435</v>
      </c>
      <c r="X18" s="52">
        <f t="shared" si="1"/>
        <v>20.27655</v>
      </c>
      <c r="Y18" s="48">
        <f t="shared" si="1"/>
        <v>23.1732</v>
      </c>
      <c r="Z18" s="50">
        <f t="shared" si="1"/>
        <v>25.587075</v>
      </c>
    </row>
    <row r="19" spans="2:26" ht="15" customHeight="1">
      <c r="B19" s="14">
        <v>65</v>
      </c>
      <c r="C19" s="48">
        <f t="shared" si="2"/>
        <v>2.55125</v>
      </c>
      <c r="D19" s="48">
        <f t="shared" si="2"/>
        <v>3.0615</v>
      </c>
      <c r="E19" s="48">
        <f t="shared" si="2"/>
        <v>3.316625</v>
      </c>
      <c r="F19" s="48">
        <f t="shared" si="2"/>
        <v>3.57175</v>
      </c>
      <c r="G19" s="48">
        <f t="shared" si="2"/>
        <v>4.082</v>
      </c>
      <c r="H19" s="48">
        <f t="shared" si="2"/>
        <v>4.59225</v>
      </c>
      <c r="I19" s="48">
        <f t="shared" si="2"/>
        <v>5.1025</v>
      </c>
      <c r="J19" s="48">
        <f t="shared" si="2"/>
        <v>5.61275</v>
      </c>
      <c r="K19" s="48">
        <f t="shared" si="2"/>
        <v>6.123</v>
      </c>
      <c r="L19" s="48">
        <f t="shared" si="2"/>
        <v>6.63325</v>
      </c>
      <c r="M19" s="48">
        <f t="shared" si="2"/>
        <v>7.1435</v>
      </c>
      <c r="N19" s="48">
        <f t="shared" si="2"/>
        <v>7.65375</v>
      </c>
      <c r="O19" s="48">
        <f t="shared" si="2"/>
        <v>8.164</v>
      </c>
      <c r="P19" s="48">
        <f t="shared" si="2"/>
        <v>8.67425</v>
      </c>
      <c r="Q19" s="48">
        <f t="shared" si="2"/>
        <v>10.205</v>
      </c>
      <c r="R19" s="48">
        <f aca="true" t="shared" si="3" ref="R19:R28">($B19*R$2*7850)/1000000</f>
        <v>11.2255</v>
      </c>
      <c r="S19" s="48">
        <f aca="true" t="shared" si="4" ref="S19:Z28">($B19*S$2*7850)/1000000</f>
        <v>12.246</v>
      </c>
      <c r="T19" s="48">
        <f t="shared" si="4"/>
        <v>13.77675</v>
      </c>
      <c r="U19" s="48">
        <f t="shared" si="4"/>
        <v>15.3075</v>
      </c>
      <c r="V19" s="48">
        <f t="shared" si="4"/>
        <v>16.328</v>
      </c>
      <c r="W19" s="52">
        <f t="shared" si="4"/>
        <v>17.3485</v>
      </c>
      <c r="X19" s="48">
        <f t="shared" si="4"/>
        <v>21.4305</v>
      </c>
      <c r="Y19" s="48">
        <f t="shared" si="4"/>
        <v>24.492</v>
      </c>
      <c r="Z19" s="50">
        <f t="shared" si="4"/>
        <v>27.04325</v>
      </c>
    </row>
    <row r="20" spans="2:26" ht="15" customHeight="1">
      <c r="B20" s="14">
        <v>70</v>
      </c>
      <c r="C20" s="48">
        <f t="shared" si="2"/>
        <v>2.7475</v>
      </c>
      <c r="D20" s="48">
        <f t="shared" si="2"/>
        <v>3.297</v>
      </c>
      <c r="E20" s="48">
        <f t="shared" si="2"/>
        <v>3.57175</v>
      </c>
      <c r="F20" s="48">
        <f t="shared" si="2"/>
        <v>3.8465</v>
      </c>
      <c r="G20" s="48">
        <f t="shared" si="2"/>
        <v>4.396</v>
      </c>
      <c r="H20" s="48">
        <f t="shared" si="2"/>
        <v>4.9455</v>
      </c>
      <c r="I20" s="48">
        <f t="shared" si="2"/>
        <v>5.495</v>
      </c>
      <c r="J20" s="48">
        <f t="shared" si="2"/>
        <v>6.0445</v>
      </c>
      <c r="K20" s="48">
        <f t="shared" si="2"/>
        <v>6.594</v>
      </c>
      <c r="L20" s="48">
        <f t="shared" si="2"/>
        <v>7.1435</v>
      </c>
      <c r="M20" s="48">
        <f t="shared" si="2"/>
        <v>7.693</v>
      </c>
      <c r="N20" s="48">
        <f t="shared" si="2"/>
        <v>8.2425</v>
      </c>
      <c r="O20" s="48">
        <f t="shared" si="2"/>
        <v>8.792</v>
      </c>
      <c r="P20" s="48">
        <f t="shared" si="2"/>
        <v>9.3415</v>
      </c>
      <c r="Q20" s="48">
        <f t="shared" si="2"/>
        <v>10.99</v>
      </c>
      <c r="R20" s="48">
        <f t="shared" si="3"/>
        <v>12.089</v>
      </c>
      <c r="S20" s="48">
        <f t="shared" si="4"/>
        <v>13.188</v>
      </c>
      <c r="T20" s="48">
        <f t="shared" si="4"/>
        <v>14.8365</v>
      </c>
      <c r="U20" s="48">
        <f t="shared" si="4"/>
        <v>16.485</v>
      </c>
      <c r="V20" s="48">
        <f t="shared" si="4"/>
        <v>17.584</v>
      </c>
      <c r="W20" s="52">
        <f t="shared" si="4"/>
        <v>18.683</v>
      </c>
      <c r="X20" s="48">
        <f t="shared" si="4"/>
        <v>23.079</v>
      </c>
      <c r="Y20" s="48">
        <f t="shared" si="4"/>
        <v>26.376</v>
      </c>
      <c r="Z20" s="50">
        <f t="shared" si="4"/>
        <v>29.1235</v>
      </c>
    </row>
    <row r="21" spans="2:26" ht="15" customHeight="1">
      <c r="B21" s="14">
        <v>72</v>
      </c>
      <c r="C21" s="48">
        <f t="shared" si="2"/>
        <v>2.826</v>
      </c>
      <c r="D21" s="48">
        <f t="shared" si="2"/>
        <v>3.3912</v>
      </c>
      <c r="E21" s="48">
        <f t="shared" si="2"/>
        <v>3.6738</v>
      </c>
      <c r="F21" s="48">
        <f t="shared" si="2"/>
        <v>3.9564</v>
      </c>
      <c r="G21" s="52">
        <f t="shared" si="2"/>
        <v>4.5216</v>
      </c>
      <c r="H21" s="48">
        <f t="shared" si="2"/>
        <v>5.0868</v>
      </c>
      <c r="I21" s="52">
        <f t="shared" si="2"/>
        <v>5.652</v>
      </c>
      <c r="J21" s="48">
        <f t="shared" si="2"/>
        <v>6.2172</v>
      </c>
      <c r="K21" s="52">
        <f t="shared" si="2"/>
        <v>6.7824</v>
      </c>
      <c r="L21" s="48">
        <f t="shared" si="2"/>
        <v>7.3476</v>
      </c>
      <c r="M21" s="52">
        <f t="shared" si="2"/>
        <v>7.9128</v>
      </c>
      <c r="N21" s="48">
        <f t="shared" si="2"/>
        <v>8.478</v>
      </c>
      <c r="O21" s="48">
        <f t="shared" si="2"/>
        <v>9.0432</v>
      </c>
      <c r="P21" s="52">
        <f t="shared" si="2"/>
        <v>9.6084</v>
      </c>
      <c r="Q21" s="48">
        <f t="shared" si="2"/>
        <v>11.304</v>
      </c>
      <c r="R21" s="52">
        <f t="shared" si="3"/>
        <v>12.4344</v>
      </c>
      <c r="S21" s="48">
        <f t="shared" si="4"/>
        <v>13.5648</v>
      </c>
      <c r="T21" s="52">
        <f t="shared" si="4"/>
        <v>15.2604</v>
      </c>
      <c r="U21" s="48">
        <f t="shared" si="4"/>
        <v>16.956</v>
      </c>
      <c r="V21" s="52">
        <f t="shared" si="4"/>
        <v>18.0864</v>
      </c>
      <c r="W21" s="48">
        <f t="shared" si="4"/>
        <v>19.2168</v>
      </c>
      <c r="X21" s="48">
        <f t="shared" si="4"/>
        <v>23.7384</v>
      </c>
      <c r="Y21" s="52">
        <f t="shared" si="4"/>
        <v>27.1296</v>
      </c>
      <c r="Z21" s="50">
        <f t="shared" si="4"/>
        <v>29.9556</v>
      </c>
    </row>
    <row r="22" spans="2:26" ht="15" customHeight="1">
      <c r="B22" s="14">
        <v>75</v>
      </c>
      <c r="C22" s="48">
        <f t="shared" si="2"/>
        <v>2.94375</v>
      </c>
      <c r="D22" s="48">
        <f t="shared" si="2"/>
        <v>3.5325</v>
      </c>
      <c r="E22" s="48">
        <f t="shared" si="2"/>
        <v>3.826875</v>
      </c>
      <c r="F22" s="48">
        <f t="shared" si="2"/>
        <v>4.12125</v>
      </c>
      <c r="G22" s="48">
        <f t="shared" si="2"/>
        <v>4.71</v>
      </c>
      <c r="H22" s="48">
        <f t="shared" si="2"/>
        <v>5.29875</v>
      </c>
      <c r="I22" s="48">
        <f t="shared" si="2"/>
        <v>5.8875</v>
      </c>
      <c r="J22" s="48">
        <f t="shared" si="2"/>
        <v>6.47625</v>
      </c>
      <c r="K22" s="48">
        <f t="shared" si="2"/>
        <v>7.065</v>
      </c>
      <c r="L22" s="48">
        <f t="shared" si="2"/>
        <v>7.65375</v>
      </c>
      <c r="M22" s="48">
        <f t="shared" si="2"/>
        <v>8.2425</v>
      </c>
      <c r="N22" s="48">
        <f t="shared" si="2"/>
        <v>8.83125</v>
      </c>
      <c r="O22" s="48">
        <f t="shared" si="2"/>
        <v>9.42</v>
      </c>
      <c r="P22" s="48">
        <f t="shared" si="2"/>
        <v>10.00875</v>
      </c>
      <c r="Q22" s="48">
        <f t="shared" si="2"/>
        <v>11.775</v>
      </c>
      <c r="R22" s="48">
        <f t="shared" si="3"/>
        <v>12.9525</v>
      </c>
      <c r="S22" s="48">
        <f t="shared" si="4"/>
        <v>14.13</v>
      </c>
      <c r="T22" s="52">
        <f t="shared" si="4"/>
        <v>15.89625</v>
      </c>
      <c r="U22" s="48">
        <f t="shared" si="4"/>
        <v>17.6625</v>
      </c>
      <c r="V22" s="48">
        <f t="shared" si="4"/>
        <v>18.84</v>
      </c>
      <c r="W22" s="52">
        <f t="shared" si="4"/>
        <v>20.0175</v>
      </c>
      <c r="X22" s="48">
        <f t="shared" si="4"/>
        <v>24.7275</v>
      </c>
      <c r="Y22" s="48">
        <f t="shared" si="4"/>
        <v>28.26</v>
      </c>
      <c r="Z22" s="50">
        <f t="shared" si="4"/>
        <v>31.20375</v>
      </c>
    </row>
    <row r="23" spans="2:26" ht="15" customHeight="1">
      <c r="B23" s="14">
        <v>80</v>
      </c>
      <c r="C23" s="48">
        <f aca="true" t="shared" si="5" ref="C23:Q28">($B23*C$2*7850)/1000000</f>
        <v>3.14</v>
      </c>
      <c r="D23" s="48">
        <f t="shared" si="5"/>
        <v>3.768</v>
      </c>
      <c r="E23" s="48">
        <f t="shared" si="5"/>
        <v>4.082</v>
      </c>
      <c r="F23" s="48">
        <f t="shared" si="5"/>
        <v>4.396</v>
      </c>
      <c r="G23" s="48">
        <f t="shared" si="5"/>
        <v>5.024</v>
      </c>
      <c r="H23" s="48">
        <f t="shared" si="5"/>
        <v>5.652</v>
      </c>
      <c r="I23" s="48">
        <f t="shared" si="5"/>
        <v>6.28</v>
      </c>
      <c r="J23" s="48">
        <f t="shared" si="5"/>
        <v>6.908</v>
      </c>
      <c r="K23" s="48">
        <f t="shared" si="5"/>
        <v>7.536</v>
      </c>
      <c r="L23" s="48">
        <f t="shared" si="5"/>
        <v>8.164</v>
      </c>
      <c r="M23" s="48">
        <f t="shared" si="5"/>
        <v>8.792</v>
      </c>
      <c r="N23" s="48">
        <f t="shared" si="5"/>
        <v>9.42</v>
      </c>
      <c r="O23" s="48">
        <f t="shared" si="5"/>
        <v>10.048</v>
      </c>
      <c r="P23" s="48">
        <f t="shared" si="5"/>
        <v>10.676</v>
      </c>
      <c r="Q23" s="48">
        <f t="shared" si="5"/>
        <v>12.56</v>
      </c>
      <c r="R23" s="48">
        <f t="shared" si="3"/>
        <v>13.816</v>
      </c>
      <c r="S23" s="48">
        <f t="shared" si="4"/>
        <v>15.072</v>
      </c>
      <c r="T23" s="52">
        <f t="shared" si="4"/>
        <v>16.956</v>
      </c>
      <c r="U23" s="48">
        <f t="shared" si="4"/>
        <v>18.84</v>
      </c>
      <c r="V23" s="48">
        <f t="shared" si="4"/>
        <v>20.096</v>
      </c>
      <c r="W23" s="52">
        <f t="shared" si="4"/>
        <v>21.352</v>
      </c>
      <c r="X23" s="48">
        <f t="shared" si="4"/>
        <v>26.376</v>
      </c>
      <c r="Y23" s="48">
        <f t="shared" si="4"/>
        <v>30.144</v>
      </c>
      <c r="Z23" s="50">
        <f t="shared" si="4"/>
        <v>33.284</v>
      </c>
    </row>
    <row r="24" spans="2:26" ht="15" customHeight="1">
      <c r="B24" s="14">
        <v>82</v>
      </c>
      <c r="C24" s="48">
        <f t="shared" si="5"/>
        <v>3.2185</v>
      </c>
      <c r="D24" s="48">
        <f t="shared" si="5"/>
        <v>3.8622</v>
      </c>
      <c r="E24" s="48">
        <f t="shared" si="5"/>
        <v>4.18405</v>
      </c>
      <c r="F24" s="52">
        <f t="shared" si="5"/>
        <v>4.5059</v>
      </c>
      <c r="G24" s="52">
        <f t="shared" si="5"/>
        <v>5.1496</v>
      </c>
      <c r="H24" s="48">
        <f t="shared" si="5"/>
        <v>5.7933</v>
      </c>
      <c r="I24" s="52">
        <f t="shared" si="5"/>
        <v>6.437</v>
      </c>
      <c r="J24" s="48">
        <f t="shared" si="5"/>
        <v>7.0807</v>
      </c>
      <c r="K24" s="52">
        <f t="shared" si="5"/>
        <v>7.7244</v>
      </c>
      <c r="L24" s="48">
        <f t="shared" si="5"/>
        <v>8.3681</v>
      </c>
      <c r="M24" s="52">
        <f t="shared" si="5"/>
        <v>9.0118</v>
      </c>
      <c r="N24" s="48">
        <f t="shared" si="5"/>
        <v>9.6555</v>
      </c>
      <c r="O24" s="48">
        <f t="shared" si="5"/>
        <v>10.2992</v>
      </c>
      <c r="P24" s="52">
        <f t="shared" si="5"/>
        <v>10.9429</v>
      </c>
      <c r="Q24" s="48">
        <f t="shared" si="5"/>
        <v>12.874</v>
      </c>
      <c r="R24" s="52">
        <f t="shared" si="3"/>
        <v>14.1614</v>
      </c>
      <c r="S24" s="48">
        <f t="shared" si="4"/>
        <v>15.4488</v>
      </c>
      <c r="T24" s="52">
        <f t="shared" si="4"/>
        <v>17.3799</v>
      </c>
      <c r="U24" s="48">
        <f t="shared" si="4"/>
        <v>19.311</v>
      </c>
      <c r="V24" s="52">
        <f t="shared" si="4"/>
        <v>20.5984</v>
      </c>
      <c r="W24" s="48">
        <f t="shared" si="4"/>
        <v>21.8858</v>
      </c>
      <c r="X24" s="48">
        <f t="shared" si="4"/>
        <v>27.0354</v>
      </c>
      <c r="Y24" s="52">
        <f t="shared" si="4"/>
        <v>30.8976</v>
      </c>
      <c r="Z24" s="53">
        <f t="shared" si="4"/>
        <v>34.1161</v>
      </c>
    </row>
    <row r="25" spans="2:26" ht="15" customHeight="1">
      <c r="B25" s="14">
        <v>85</v>
      </c>
      <c r="C25" s="48">
        <f t="shared" si="5"/>
        <v>3.33625</v>
      </c>
      <c r="D25" s="48">
        <f t="shared" si="5"/>
        <v>4.0035</v>
      </c>
      <c r="E25" s="52">
        <f t="shared" si="5"/>
        <v>4.337125</v>
      </c>
      <c r="F25" s="48">
        <f t="shared" si="5"/>
        <v>4.67075</v>
      </c>
      <c r="G25" s="48">
        <f t="shared" si="5"/>
        <v>5.338</v>
      </c>
      <c r="H25" s="48">
        <f t="shared" si="5"/>
        <v>6.00525</v>
      </c>
      <c r="I25" s="48">
        <f t="shared" si="5"/>
        <v>6.6725</v>
      </c>
      <c r="J25" s="48">
        <f t="shared" si="5"/>
        <v>7.33975</v>
      </c>
      <c r="K25" s="48">
        <f t="shared" si="5"/>
        <v>8.007</v>
      </c>
      <c r="L25" s="48">
        <f t="shared" si="5"/>
        <v>8.67425</v>
      </c>
      <c r="M25" s="48">
        <f t="shared" si="5"/>
        <v>9.3415</v>
      </c>
      <c r="N25" s="48">
        <f t="shared" si="5"/>
        <v>10.00875</v>
      </c>
      <c r="O25" s="48">
        <f t="shared" si="5"/>
        <v>10.676</v>
      </c>
      <c r="P25" s="48">
        <f t="shared" si="5"/>
        <v>11.34325</v>
      </c>
      <c r="Q25" s="48">
        <f t="shared" si="5"/>
        <v>13.345</v>
      </c>
      <c r="R25" s="48">
        <f t="shared" si="3"/>
        <v>14.6795</v>
      </c>
      <c r="S25" s="48">
        <f t="shared" si="4"/>
        <v>16.014</v>
      </c>
      <c r="T25" s="52">
        <f t="shared" si="4"/>
        <v>18.01575</v>
      </c>
      <c r="U25" s="48">
        <f t="shared" si="4"/>
        <v>20.0175</v>
      </c>
      <c r="V25" s="48">
        <f t="shared" si="4"/>
        <v>21.352</v>
      </c>
      <c r="W25" s="52">
        <f t="shared" si="4"/>
        <v>22.6865</v>
      </c>
      <c r="X25" s="48">
        <f t="shared" si="4"/>
        <v>28.0245</v>
      </c>
      <c r="Y25" s="48">
        <f t="shared" si="4"/>
        <v>32.028</v>
      </c>
      <c r="Z25" s="50">
        <f t="shared" si="4"/>
        <v>35.36425</v>
      </c>
    </row>
    <row r="26" spans="2:26" ht="15" customHeight="1">
      <c r="B26" s="14">
        <v>92</v>
      </c>
      <c r="C26" s="48">
        <f t="shared" si="5"/>
        <v>3.611</v>
      </c>
      <c r="D26" s="48">
        <f t="shared" si="5"/>
        <v>4.3332</v>
      </c>
      <c r="E26" s="48">
        <f t="shared" si="5"/>
        <v>4.6943</v>
      </c>
      <c r="F26" s="48">
        <f t="shared" si="5"/>
        <v>5.0554</v>
      </c>
      <c r="G26" s="52">
        <f t="shared" si="5"/>
        <v>5.7776</v>
      </c>
      <c r="H26" s="48">
        <f t="shared" si="5"/>
        <v>6.4998</v>
      </c>
      <c r="I26" s="52">
        <f t="shared" si="5"/>
        <v>7.222</v>
      </c>
      <c r="J26" s="48">
        <f t="shared" si="5"/>
        <v>7.9442</v>
      </c>
      <c r="K26" s="52">
        <f t="shared" si="5"/>
        <v>8.6664</v>
      </c>
      <c r="L26" s="48">
        <f t="shared" si="5"/>
        <v>9.3886</v>
      </c>
      <c r="M26" s="52">
        <f t="shared" si="5"/>
        <v>10.1108</v>
      </c>
      <c r="N26" s="48">
        <f t="shared" si="5"/>
        <v>10.833</v>
      </c>
      <c r="O26" s="48">
        <f t="shared" si="5"/>
        <v>11.5552</v>
      </c>
      <c r="P26" s="52">
        <f t="shared" si="5"/>
        <v>12.2774</v>
      </c>
      <c r="Q26" s="48">
        <f t="shared" si="5"/>
        <v>14.444</v>
      </c>
      <c r="R26" s="52">
        <f t="shared" si="3"/>
        <v>15.8884</v>
      </c>
      <c r="S26" s="48">
        <f t="shared" si="4"/>
        <v>17.3328</v>
      </c>
      <c r="T26" s="52">
        <f t="shared" si="4"/>
        <v>19.4994</v>
      </c>
      <c r="U26" s="48">
        <f t="shared" si="4"/>
        <v>21.666</v>
      </c>
      <c r="V26" s="48">
        <f t="shared" si="4"/>
        <v>23.1104</v>
      </c>
      <c r="W26" s="48">
        <f t="shared" si="4"/>
        <v>24.5548</v>
      </c>
      <c r="X26" s="48">
        <f t="shared" si="4"/>
        <v>30.3324</v>
      </c>
      <c r="Y26" s="48">
        <f t="shared" si="4"/>
        <v>34.6656</v>
      </c>
      <c r="Z26" s="50">
        <f t="shared" si="4"/>
        <v>38.2766</v>
      </c>
    </row>
    <row r="27" spans="2:26" ht="15" customHeight="1">
      <c r="B27" s="14">
        <v>102</v>
      </c>
      <c r="C27" s="48">
        <f t="shared" si="5"/>
        <v>4.0035</v>
      </c>
      <c r="D27" s="48">
        <f t="shared" si="5"/>
        <v>4.8042</v>
      </c>
      <c r="E27" s="48">
        <f t="shared" si="5"/>
        <v>5.20455</v>
      </c>
      <c r="F27" s="48">
        <f t="shared" si="5"/>
        <v>5.6049</v>
      </c>
      <c r="G27" s="48">
        <f t="shared" si="5"/>
        <v>6.4056</v>
      </c>
      <c r="H27" s="48">
        <f t="shared" si="5"/>
        <v>7.2063</v>
      </c>
      <c r="I27" s="48">
        <f t="shared" si="5"/>
        <v>8.007</v>
      </c>
      <c r="J27" s="48">
        <f t="shared" si="5"/>
        <v>8.8077</v>
      </c>
      <c r="K27" s="52">
        <f t="shared" si="5"/>
        <v>9.6084</v>
      </c>
      <c r="L27" s="48">
        <f t="shared" si="5"/>
        <v>10.4091</v>
      </c>
      <c r="M27" s="52">
        <f t="shared" si="5"/>
        <v>11.2098</v>
      </c>
      <c r="N27" s="48">
        <f t="shared" si="5"/>
        <v>12.0105</v>
      </c>
      <c r="O27" s="48">
        <f t="shared" si="5"/>
        <v>12.8112</v>
      </c>
      <c r="P27" s="52">
        <f t="shared" si="5"/>
        <v>13.6119</v>
      </c>
      <c r="Q27" s="48">
        <f t="shared" si="5"/>
        <v>16.014</v>
      </c>
      <c r="R27" s="52">
        <f t="shared" si="3"/>
        <v>17.6154</v>
      </c>
      <c r="S27" s="48">
        <f t="shared" si="4"/>
        <v>19.2168</v>
      </c>
      <c r="T27" s="52">
        <f t="shared" si="4"/>
        <v>21.6189</v>
      </c>
      <c r="U27" s="48">
        <f t="shared" si="4"/>
        <v>24.021</v>
      </c>
      <c r="V27" s="52">
        <f t="shared" si="4"/>
        <v>25.6224</v>
      </c>
      <c r="W27" s="48">
        <f t="shared" si="4"/>
        <v>27.2238</v>
      </c>
      <c r="X27" s="48">
        <f t="shared" si="4"/>
        <v>33.6294</v>
      </c>
      <c r="Y27" s="52">
        <f t="shared" si="4"/>
        <v>38.4336</v>
      </c>
      <c r="Z27" s="53">
        <f t="shared" si="4"/>
        <v>42.4371</v>
      </c>
    </row>
    <row r="28" spans="2:26" ht="15" customHeight="1" thickBot="1">
      <c r="B28" s="58">
        <v>122</v>
      </c>
      <c r="C28" s="49">
        <f t="shared" si="5"/>
        <v>4.7885</v>
      </c>
      <c r="D28" s="49">
        <f t="shared" si="5"/>
        <v>5.7462</v>
      </c>
      <c r="E28" s="49">
        <f t="shared" si="5"/>
        <v>6.22505</v>
      </c>
      <c r="F28" s="49">
        <f t="shared" si="5"/>
        <v>6.7039</v>
      </c>
      <c r="G28" s="54">
        <f t="shared" si="5"/>
        <v>7.6616</v>
      </c>
      <c r="H28" s="49">
        <f t="shared" si="5"/>
        <v>8.6193</v>
      </c>
      <c r="I28" s="54">
        <f t="shared" si="5"/>
        <v>9.577</v>
      </c>
      <c r="J28" s="49">
        <f t="shared" si="5"/>
        <v>10.5347</v>
      </c>
      <c r="K28" s="54">
        <f t="shared" si="5"/>
        <v>11.4924</v>
      </c>
      <c r="L28" s="49">
        <f t="shared" si="5"/>
        <v>12.4501</v>
      </c>
      <c r="M28" s="54">
        <f t="shared" si="5"/>
        <v>13.4078</v>
      </c>
      <c r="N28" s="49">
        <f t="shared" si="5"/>
        <v>14.3655</v>
      </c>
      <c r="O28" s="49">
        <f t="shared" si="5"/>
        <v>15.3232</v>
      </c>
      <c r="P28" s="54">
        <f t="shared" si="5"/>
        <v>16.2809</v>
      </c>
      <c r="Q28" s="49">
        <f t="shared" si="5"/>
        <v>19.154</v>
      </c>
      <c r="R28" s="55">
        <f t="shared" si="3"/>
        <v>21.0694</v>
      </c>
      <c r="S28" s="49">
        <f t="shared" si="4"/>
        <v>22.9848</v>
      </c>
      <c r="T28" s="54">
        <f t="shared" si="4"/>
        <v>25.8579</v>
      </c>
      <c r="U28" s="49">
        <f t="shared" si="4"/>
        <v>28.731</v>
      </c>
      <c r="V28" s="54">
        <f t="shared" si="4"/>
        <v>30.6464</v>
      </c>
      <c r="W28" s="49">
        <f t="shared" si="4"/>
        <v>32.5618</v>
      </c>
      <c r="X28" s="49">
        <f t="shared" si="4"/>
        <v>40.2234</v>
      </c>
      <c r="Y28" s="49">
        <f t="shared" si="4"/>
        <v>45.9696</v>
      </c>
      <c r="Z28" s="51">
        <f t="shared" si="4"/>
        <v>50.7581</v>
      </c>
    </row>
    <row r="29" ht="15" customHeight="1" thickTop="1"/>
    <row r="30" ht="15" customHeight="1"/>
    <row r="31" ht="15" customHeight="1"/>
  </sheetData>
  <sheetProtection/>
  <mergeCells count="1">
    <mergeCell ref="B1:Q1"/>
  </mergeCells>
  <printOptions/>
  <pageMargins left="0.9448818897637796" right="0.35433070866141736" top="0.984251968503937" bottom="0.3937007874015748" header="0.5118110236220472" footer="0.5118110236220472"/>
  <pageSetup orientation="landscape" paperSize="9" scale="78" r:id="rId1"/>
</worksheet>
</file>

<file path=xl/worksheets/sheet9.xml><?xml version="1.0" encoding="utf-8"?>
<worksheet xmlns="http://schemas.openxmlformats.org/spreadsheetml/2006/main" xmlns:r="http://schemas.openxmlformats.org/officeDocument/2006/relationships">
  <sheetPr>
    <tabColor indexed="19"/>
  </sheetPr>
  <dimension ref="B1:L7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B1" sqref="B1:I1"/>
    </sheetView>
  </sheetViews>
  <sheetFormatPr defaultColWidth="9.125" defaultRowHeight="12.75"/>
  <cols>
    <col min="1" max="1" width="2.625" style="43" customWidth="1"/>
    <col min="2" max="2" width="12.625" style="43" customWidth="1"/>
    <col min="3" max="9" width="15.625" style="43" customWidth="1"/>
    <col min="10" max="10" width="2.625" style="43" customWidth="1"/>
    <col min="11" max="16384" width="9.125" style="43" customWidth="1"/>
  </cols>
  <sheetData>
    <row r="1" spans="2:9" ht="19.5" customHeight="1" thickBot="1">
      <c r="B1" s="323" t="s">
        <v>58</v>
      </c>
      <c r="C1" s="323"/>
      <c r="D1" s="323"/>
      <c r="E1" s="323"/>
      <c r="F1" s="323"/>
      <c r="G1" s="323"/>
      <c r="H1" s="323"/>
      <c r="I1" s="323"/>
    </row>
    <row r="2" spans="2:9" ht="15" customHeight="1" thickTop="1">
      <c r="B2" s="75" t="s">
        <v>51</v>
      </c>
      <c r="C2" s="76" t="s">
        <v>52</v>
      </c>
      <c r="D2" s="76" t="s">
        <v>53</v>
      </c>
      <c r="E2" s="76" t="s">
        <v>54</v>
      </c>
      <c r="F2" s="76" t="s">
        <v>55</v>
      </c>
      <c r="G2" s="76" t="s">
        <v>56</v>
      </c>
      <c r="H2" s="76" t="s">
        <v>57</v>
      </c>
      <c r="I2" s="77" t="s">
        <v>59</v>
      </c>
    </row>
    <row r="3" spans="2:9" ht="15" customHeight="1">
      <c r="B3" s="57" t="s">
        <v>22</v>
      </c>
      <c r="C3" s="78">
        <v>2.73</v>
      </c>
      <c r="D3" s="78">
        <v>8.95</v>
      </c>
      <c r="E3" s="78">
        <v>8.55</v>
      </c>
      <c r="F3" s="78">
        <v>8.85</v>
      </c>
      <c r="G3" s="78">
        <v>7.17</v>
      </c>
      <c r="H3" s="78">
        <v>11.32</v>
      </c>
      <c r="I3" s="79">
        <v>7.85</v>
      </c>
    </row>
    <row r="4" spans="2:12" ht="15" customHeight="1">
      <c r="B4" s="80">
        <v>0.25</v>
      </c>
      <c r="C4" s="45">
        <f aca="true" t="shared" si="0" ref="C4:C35">$B4*C$3</f>
        <v>0.6825</v>
      </c>
      <c r="D4" s="45">
        <f aca="true" t="shared" si="1" ref="D4:I60">$B4*D$3</f>
        <v>2.2375</v>
      </c>
      <c r="E4" s="45">
        <f t="shared" si="1"/>
        <v>2.1375</v>
      </c>
      <c r="F4" s="45">
        <f t="shared" si="1"/>
        <v>2.2125</v>
      </c>
      <c r="G4" s="45">
        <f t="shared" si="1"/>
        <v>1.7925</v>
      </c>
      <c r="H4" s="45">
        <f t="shared" si="1"/>
        <v>2.83</v>
      </c>
      <c r="I4" s="46">
        <f t="shared" si="1"/>
        <v>1.9625</v>
      </c>
      <c r="K4" s="86"/>
      <c r="L4" s="86"/>
    </row>
    <row r="5" spans="2:12" ht="15" customHeight="1">
      <c r="B5" s="80">
        <v>0.3</v>
      </c>
      <c r="C5" s="45">
        <f t="shared" si="0"/>
        <v>0.819</v>
      </c>
      <c r="D5" s="45">
        <f t="shared" si="1"/>
        <v>2.6849999999999996</v>
      </c>
      <c r="E5" s="45">
        <f t="shared" si="1"/>
        <v>2.565</v>
      </c>
      <c r="F5" s="45">
        <f t="shared" si="1"/>
        <v>2.655</v>
      </c>
      <c r="G5" s="45">
        <f t="shared" si="1"/>
        <v>2.151</v>
      </c>
      <c r="H5" s="45">
        <f t="shared" si="1"/>
        <v>3.396</v>
      </c>
      <c r="I5" s="46">
        <f t="shared" si="1"/>
        <v>2.355</v>
      </c>
      <c r="K5" s="86"/>
      <c r="L5" s="86"/>
    </row>
    <row r="6" spans="2:12" ht="15" customHeight="1">
      <c r="B6" s="80">
        <v>0.4</v>
      </c>
      <c r="C6" s="45">
        <f t="shared" si="0"/>
        <v>1.092</v>
      </c>
      <c r="D6" s="45">
        <f t="shared" si="1"/>
        <v>3.58</v>
      </c>
      <c r="E6" s="45">
        <f t="shared" si="1"/>
        <v>3.4200000000000004</v>
      </c>
      <c r="F6" s="45">
        <f t="shared" si="1"/>
        <v>3.54</v>
      </c>
      <c r="G6" s="82">
        <f t="shared" si="1"/>
        <v>2.8680000000000003</v>
      </c>
      <c r="H6" s="45">
        <f t="shared" si="1"/>
        <v>4.5280000000000005</v>
      </c>
      <c r="I6" s="46">
        <f t="shared" si="1"/>
        <v>3.14</v>
      </c>
      <c r="K6" s="86"/>
      <c r="L6" s="86"/>
    </row>
    <row r="7" spans="2:12" ht="15" customHeight="1">
      <c r="B7" s="80">
        <v>0.5</v>
      </c>
      <c r="C7" s="45">
        <f t="shared" si="0"/>
        <v>1.365</v>
      </c>
      <c r="D7" s="45">
        <f t="shared" si="1"/>
        <v>4.475</v>
      </c>
      <c r="E7" s="45">
        <f t="shared" si="1"/>
        <v>4.275</v>
      </c>
      <c r="F7" s="45">
        <f t="shared" si="1"/>
        <v>4.425</v>
      </c>
      <c r="G7" s="82">
        <f t="shared" si="1"/>
        <v>3.585</v>
      </c>
      <c r="H7" s="45">
        <f t="shared" si="1"/>
        <v>5.66</v>
      </c>
      <c r="I7" s="46">
        <f t="shared" si="1"/>
        <v>3.925</v>
      </c>
      <c r="K7" s="86"/>
      <c r="L7" s="86"/>
    </row>
    <row r="8" spans="2:12" ht="15" customHeight="1">
      <c r="B8" s="80">
        <v>0.55</v>
      </c>
      <c r="C8" s="45">
        <f t="shared" si="0"/>
        <v>1.5015</v>
      </c>
      <c r="D8" s="45">
        <f t="shared" si="1"/>
        <v>4.9225</v>
      </c>
      <c r="E8" s="45">
        <f t="shared" si="1"/>
        <v>4.702500000000001</v>
      </c>
      <c r="F8" s="45">
        <f t="shared" si="1"/>
        <v>4.867500000000001</v>
      </c>
      <c r="G8" s="82">
        <f t="shared" si="1"/>
        <v>3.9435000000000002</v>
      </c>
      <c r="H8" s="45">
        <f t="shared" si="1"/>
        <v>6.226000000000001</v>
      </c>
      <c r="I8" s="46">
        <f t="shared" si="1"/>
        <v>4.3175</v>
      </c>
      <c r="K8" s="86"/>
      <c r="L8" s="86"/>
    </row>
    <row r="9" spans="2:12" ht="15" customHeight="1">
      <c r="B9" s="80">
        <v>0.56</v>
      </c>
      <c r="C9" s="45">
        <f t="shared" si="0"/>
        <v>1.5288000000000002</v>
      </c>
      <c r="D9" s="45">
        <f t="shared" si="1"/>
        <v>5.0120000000000005</v>
      </c>
      <c r="E9" s="45">
        <f t="shared" si="1"/>
        <v>4.788000000000001</v>
      </c>
      <c r="F9" s="45">
        <f t="shared" si="1"/>
        <v>4.956</v>
      </c>
      <c r="G9" s="82">
        <f t="shared" si="1"/>
        <v>4.0152</v>
      </c>
      <c r="H9" s="45">
        <f t="shared" si="1"/>
        <v>6.339200000000001</v>
      </c>
      <c r="I9" s="46">
        <f t="shared" si="1"/>
        <v>4.396</v>
      </c>
      <c r="K9" s="86"/>
      <c r="L9" s="86"/>
    </row>
    <row r="10" spans="2:12" ht="15" customHeight="1">
      <c r="B10" s="80">
        <v>0.58</v>
      </c>
      <c r="C10" s="45">
        <f t="shared" si="0"/>
        <v>1.5834</v>
      </c>
      <c r="D10" s="45">
        <f t="shared" si="1"/>
        <v>5.190999999999999</v>
      </c>
      <c r="E10" s="45">
        <f t="shared" si="1"/>
        <v>4.959</v>
      </c>
      <c r="F10" s="45">
        <f t="shared" si="1"/>
        <v>5.132999999999999</v>
      </c>
      <c r="G10" s="82">
        <f>$B10*G$3</f>
        <v>4.1586</v>
      </c>
      <c r="H10" s="45">
        <f>$B10*H$3</f>
        <v>6.5656</v>
      </c>
      <c r="I10" s="46">
        <f>$B10*I$3</f>
        <v>4.552999999999999</v>
      </c>
      <c r="K10" s="86"/>
      <c r="L10" s="86"/>
    </row>
    <row r="11" spans="2:12" ht="15" customHeight="1">
      <c r="B11" s="80">
        <v>0.6</v>
      </c>
      <c r="C11" s="45">
        <f t="shared" si="0"/>
        <v>1.638</v>
      </c>
      <c r="D11" s="45">
        <f t="shared" si="1"/>
        <v>5.369999999999999</v>
      </c>
      <c r="E11" s="45">
        <f t="shared" si="1"/>
        <v>5.13</v>
      </c>
      <c r="F11" s="45">
        <f t="shared" si="1"/>
        <v>5.31</v>
      </c>
      <c r="G11" s="82">
        <f t="shared" si="1"/>
        <v>4.302</v>
      </c>
      <c r="H11" s="45">
        <f t="shared" si="1"/>
        <v>6.792</v>
      </c>
      <c r="I11" s="46">
        <f t="shared" si="1"/>
        <v>4.71</v>
      </c>
      <c r="K11" s="86"/>
      <c r="L11" s="86"/>
    </row>
    <row r="12" spans="2:12" ht="15" customHeight="1">
      <c r="B12" s="80">
        <v>0.61</v>
      </c>
      <c r="C12" s="45">
        <f t="shared" si="0"/>
        <v>1.6653</v>
      </c>
      <c r="D12" s="45">
        <f t="shared" si="1"/>
        <v>5.459499999999999</v>
      </c>
      <c r="E12" s="45">
        <f t="shared" si="1"/>
        <v>5.2155000000000005</v>
      </c>
      <c r="F12" s="45">
        <f t="shared" si="1"/>
        <v>5.398499999999999</v>
      </c>
      <c r="G12" s="82">
        <f t="shared" si="1"/>
        <v>4.3736999999999995</v>
      </c>
      <c r="H12" s="45">
        <f t="shared" si="1"/>
        <v>6.9052</v>
      </c>
      <c r="I12" s="46">
        <f t="shared" si="1"/>
        <v>4.7885</v>
      </c>
      <c r="K12" s="86"/>
      <c r="L12" s="86"/>
    </row>
    <row r="13" spans="2:12" ht="15" customHeight="1">
      <c r="B13" s="80">
        <v>0.65</v>
      </c>
      <c r="C13" s="45">
        <f t="shared" si="0"/>
        <v>1.7745</v>
      </c>
      <c r="D13" s="45">
        <f t="shared" si="1"/>
        <v>5.8175</v>
      </c>
      <c r="E13" s="45">
        <f t="shared" si="1"/>
        <v>5.557500000000001</v>
      </c>
      <c r="F13" s="45">
        <f t="shared" si="1"/>
        <v>5.7525</v>
      </c>
      <c r="G13" s="82">
        <f t="shared" si="1"/>
        <v>4.6605</v>
      </c>
      <c r="H13" s="45">
        <f t="shared" si="1"/>
        <v>7.3580000000000005</v>
      </c>
      <c r="I13" s="46">
        <f t="shared" si="1"/>
        <v>5.1025</v>
      </c>
      <c r="K13" s="86"/>
      <c r="L13" s="86"/>
    </row>
    <row r="14" spans="2:12" ht="15" customHeight="1">
      <c r="B14" s="80">
        <v>0.66</v>
      </c>
      <c r="C14" s="45">
        <f t="shared" si="0"/>
        <v>1.8018</v>
      </c>
      <c r="D14" s="45">
        <f t="shared" si="1"/>
        <v>5.907</v>
      </c>
      <c r="E14" s="45">
        <f t="shared" si="1"/>
        <v>5.643000000000001</v>
      </c>
      <c r="F14" s="45">
        <f t="shared" si="1"/>
        <v>5.841</v>
      </c>
      <c r="G14" s="82">
        <f t="shared" si="1"/>
        <v>4.7322</v>
      </c>
      <c r="H14" s="45">
        <f t="shared" si="1"/>
        <v>7.4712000000000005</v>
      </c>
      <c r="I14" s="46">
        <f t="shared" si="1"/>
        <v>5.181</v>
      </c>
      <c r="K14" s="86"/>
      <c r="L14" s="86"/>
    </row>
    <row r="15" spans="2:12" ht="15" customHeight="1">
      <c r="B15" s="80">
        <v>0.7</v>
      </c>
      <c r="C15" s="45">
        <f t="shared" si="0"/>
        <v>1.9109999999999998</v>
      </c>
      <c r="D15" s="45">
        <f t="shared" si="1"/>
        <v>6.264999999999999</v>
      </c>
      <c r="E15" s="45">
        <f t="shared" si="1"/>
        <v>5.985</v>
      </c>
      <c r="F15" s="45">
        <f t="shared" si="1"/>
        <v>6.194999999999999</v>
      </c>
      <c r="G15" s="82">
        <f t="shared" si="1"/>
        <v>5.018999999999999</v>
      </c>
      <c r="H15" s="45">
        <f t="shared" si="1"/>
        <v>7.9239999999999995</v>
      </c>
      <c r="I15" s="46">
        <f t="shared" si="1"/>
        <v>5.494999999999999</v>
      </c>
      <c r="K15" s="86"/>
      <c r="L15" s="86"/>
    </row>
    <row r="16" spans="2:12" ht="15" customHeight="1">
      <c r="B16" s="80">
        <v>0.72</v>
      </c>
      <c r="C16" s="45">
        <f t="shared" si="0"/>
        <v>1.9656</v>
      </c>
      <c r="D16" s="45">
        <f t="shared" si="1"/>
        <v>6.443999999999999</v>
      </c>
      <c r="E16" s="45">
        <f t="shared" si="1"/>
        <v>6.156000000000001</v>
      </c>
      <c r="F16" s="45">
        <f t="shared" si="1"/>
        <v>6.372</v>
      </c>
      <c r="G16" s="82">
        <f t="shared" si="1"/>
        <v>5.1624</v>
      </c>
      <c r="H16" s="45">
        <f t="shared" si="1"/>
        <v>8.1504</v>
      </c>
      <c r="I16" s="46">
        <f t="shared" si="1"/>
        <v>5.651999999999999</v>
      </c>
      <c r="K16" s="86"/>
      <c r="L16" s="86"/>
    </row>
    <row r="17" spans="2:12" ht="15" customHeight="1">
      <c r="B17" s="80">
        <v>0.74</v>
      </c>
      <c r="C17" s="45">
        <f t="shared" si="0"/>
        <v>2.0202</v>
      </c>
      <c r="D17" s="45">
        <f aca="true" t="shared" si="2" ref="D17:I17">$B17*D$3</f>
        <v>6.622999999999999</v>
      </c>
      <c r="E17" s="45">
        <f t="shared" si="2"/>
        <v>6.327000000000001</v>
      </c>
      <c r="F17" s="45">
        <f t="shared" si="2"/>
        <v>6.5489999999999995</v>
      </c>
      <c r="G17" s="82">
        <f t="shared" si="2"/>
        <v>5.3058</v>
      </c>
      <c r="H17" s="45">
        <f t="shared" si="2"/>
        <v>8.3768</v>
      </c>
      <c r="I17" s="46">
        <f t="shared" si="2"/>
        <v>5.808999999999999</v>
      </c>
      <c r="K17" s="86"/>
      <c r="L17" s="86"/>
    </row>
    <row r="18" spans="2:12" ht="15" customHeight="1">
      <c r="B18" s="80">
        <v>0.75</v>
      </c>
      <c r="C18" s="45">
        <f t="shared" si="0"/>
        <v>2.0475</v>
      </c>
      <c r="D18" s="45">
        <f t="shared" si="1"/>
        <v>6.7124999999999995</v>
      </c>
      <c r="E18" s="45">
        <f t="shared" si="1"/>
        <v>6.4125000000000005</v>
      </c>
      <c r="F18" s="45">
        <f t="shared" si="1"/>
        <v>6.637499999999999</v>
      </c>
      <c r="G18" s="82">
        <f t="shared" si="1"/>
        <v>5.3774999999999995</v>
      </c>
      <c r="H18" s="45">
        <f t="shared" si="1"/>
        <v>8.49</v>
      </c>
      <c r="I18" s="46">
        <f t="shared" si="1"/>
        <v>5.887499999999999</v>
      </c>
      <c r="K18" s="86"/>
      <c r="L18" s="86"/>
    </row>
    <row r="19" spans="2:12" ht="15" customHeight="1">
      <c r="B19" s="80">
        <v>0.78</v>
      </c>
      <c r="C19" s="45">
        <f t="shared" si="0"/>
        <v>2.1294</v>
      </c>
      <c r="D19" s="45">
        <f t="shared" si="1"/>
        <v>6.981</v>
      </c>
      <c r="E19" s="45">
        <f t="shared" si="1"/>
        <v>6.6690000000000005</v>
      </c>
      <c r="F19" s="45">
        <f t="shared" si="1"/>
        <v>6.903</v>
      </c>
      <c r="G19" s="82">
        <f t="shared" si="1"/>
        <v>5.5926</v>
      </c>
      <c r="H19" s="45">
        <f t="shared" si="1"/>
        <v>8.829600000000001</v>
      </c>
      <c r="I19" s="46">
        <f t="shared" si="1"/>
        <v>6.123</v>
      </c>
      <c r="K19" s="86"/>
      <c r="L19" s="86"/>
    </row>
    <row r="20" spans="2:12" ht="15" customHeight="1">
      <c r="B20" s="80">
        <v>0.8</v>
      </c>
      <c r="C20" s="45">
        <f t="shared" si="0"/>
        <v>2.184</v>
      </c>
      <c r="D20" s="45">
        <f t="shared" si="1"/>
        <v>7.16</v>
      </c>
      <c r="E20" s="45">
        <f t="shared" si="1"/>
        <v>6.840000000000001</v>
      </c>
      <c r="F20" s="45">
        <f t="shared" si="1"/>
        <v>7.08</v>
      </c>
      <c r="G20" s="82">
        <f t="shared" si="1"/>
        <v>5.736000000000001</v>
      </c>
      <c r="H20" s="45">
        <f t="shared" si="1"/>
        <v>9.056000000000001</v>
      </c>
      <c r="I20" s="46">
        <f t="shared" si="1"/>
        <v>6.28</v>
      </c>
      <c r="K20" s="86"/>
      <c r="L20" s="86"/>
    </row>
    <row r="21" spans="2:12" ht="15" customHeight="1">
      <c r="B21" s="80">
        <v>0.82</v>
      </c>
      <c r="C21" s="45">
        <f t="shared" si="0"/>
        <v>2.2386</v>
      </c>
      <c r="D21" s="45">
        <f aca="true" t="shared" si="3" ref="D21:I21">$B21*D$3</f>
        <v>7.338999999999999</v>
      </c>
      <c r="E21" s="45">
        <f t="shared" si="3"/>
        <v>7.011</v>
      </c>
      <c r="F21" s="45">
        <f t="shared" si="3"/>
        <v>7.257</v>
      </c>
      <c r="G21" s="82">
        <f t="shared" si="3"/>
        <v>5.8793999999999995</v>
      </c>
      <c r="H21" s="45">
        <f t="shared" si="3"/>
        <v>9.282399999999999</v>
      </c>
      <c r="I21" s="46">
        <f t="shared" si="3"/>
        <v>6.436999999999999</v>
      </c>
      <c r="K21" s="86"/>
      <c r="L21" s="86"/>
    </row>
    <row r="22" spans="2:12" ht="15" customHeight="1">
      <c r="B22" s="80">
        <v>0.83</v>
      </c>
      <c r="C22" s="45">
        <f t="shared" si="0"/>
        <v>2.2659</v>
      </c>
      <c r="D22" s="45">
        <f t="shared" si="1"/>
        <v>7.428499999999999</v>
      </c>
      <c r="E22" s="45">
        <f t="shared" si="1"/>
        <v>7.0965</v>
      </c>
      <c r="F22" s="45">
        <f t="shared" si="1"/>
        <v>7.3454999999999995</v>
      </c>
      <c r="G22" s="82">
        <f t="shared" si="1"/>
        <v>5.951099999999999</v>
      </c>
      <c r="H22" s="45">
        <f t="shared" si="1"/>
        <v>9.3956</v>
      </c>
      <c r="I22" s="46">
        <f t="shared" si="1"/>
        <v>6.515499999999999</v>
      </c>
      <c r="K22" s="86"/>
      <c r="L22" s="86"/>
    </row>
    <row r="23" spans="2:12" ht="15" customHeight="1">
      <c r="B23" s="80">
        <v>0.85</v>
      </c>
      <c r="C23" s="45">
        <f t="shared" si="0"/>
        <v>2.3205</v>
      </c>
      <c r="D23" s="45">
        <f t="shared" si="1"/>
        <v>7.607499999999999</v>
      </c>
      <c r="E23" s="45">
        <f t="shared" si="1"/>
        <v>7.2675</v>
      </c>
      <c r="F23" s="45">
        <f t="shared" si="1"/>
        <v>7.522499999999999</v>
      </c>
      <c r="G23" s="82">
        <f t="shared" si="1"/>
        <v>6.0945</v>
      </c>
      <c r="H23" s="45">
        <f t="shared" si="1"/>
        <v>9.622</v>
      </c>
      <c r="I23" s="46">
        <f t="shared" si="1"/>
        <v>6.672499999999999</v>
      </c>
      <c r="K23" s="86"/>
      <c r="L23" s="86"/>
    </row>
    <row r="24" spans="2:12" ht="15" customHeight="1">
      <c r="B24" s="80">
        <v>0.88</v>
      </c>
      <c r="C24" s="45">
        <f t="shared" si="0"/>
        <v>2.4024</v>
      </c>
      <c r="D24" s="45">
        <f t="shared" si="1"/>
        <v>7.8759999999999994</v>
      </c>
      <c r="E24" s="45">
        <f t="shared" si="1"/>
        <v>7.524000000000001</v>
      </c>
      <c r="F24" s="45">
        <f t="shared" si="1"/>
        <v>7.787999999999999</v>
      </c>
      <c r="G24" s="82">
        <f t="shared" si="1"/>
        <v>6.3096</v>
      </c>
      <c r="H24" s="45">
        <f t="shared" si="1"/>
        <v>9.9616</v>
      </c>
      <c r="I24" s="46">
        <f t="shared" si="1"/>
        <v>6.9079999999999995</v>
      </c>
      <c r="K24" s="86"/>
      <c r="L24" s="86"/>
    </row>
    <row r="25" spans="2:12" ht="15" customHeight="1">
      <c r="B25" s="80">
        <v>0.9</v>
      </c>
      <c r="C25" s="45">
        <f t="shared" si="0"/>
        <v>2.457</v>
      </c>
      <c r="D25" s="45">
        <f t="shared" si="1"/>
        <v>8.055</v>
      </c>
      <c r="E25" s="45">
        <f t="shared" si="1"/>
        <v>7.695000000000001</v>
      </c>
      <c r="F25" s="45">
        <f t="shared" si="1"/>
        <v>7.965</v>
      </c>
      <c r="G25" s="45">
        <f t="shared" si="1"/>
        <v>6.453</v>
      </c>
      <c r="H25" s="45">
        <f t="shared" si="1"/>
        <v>10.188</v>
      </c>
      <c r="I25" s="46">
        <f t="shared" si="1"/>
        <v>7.0649999999999995</v>
      </c>
      <c r="K25" s="86"/>
      <c r="L25" s="86"/>
    </row>
    <row r="26" spans="2:12" ht="15" customHeight="1">
      <c r="B26" s="80">
        <v>0.92</v>
      </c>
      <c r="C26" s="45">
        <f t="shared" si="0"/>
        <v>2.5116</v>
      </c>
      <c r="D26" s="45">
        <f t="shared" si="1"/>
        <v>8.234</v>
      </c>
      <c r="E26" s="45">
        <f t="shared" si="1"/>
        <v>7.866000000000001</v>
      </c>
      <c r="F26" s="45">
        <f t="shared" si="1"/>
        <v>8.142</v>
      </c>
      <c r="G26" s="45">
        <f t="shared" si="1"/>
        <v>6.5964</v>
      </c>
      <c r="H26" s="45">
        <f t="shared" si="1"/>
        <v>10.4144</v>
      </c>
      <c r="I26" s="46">
        <f t="shared" si="1"/>
        <v>7.222</v>
      </c>
      <c r="K26" s="86"/>
      <c r="L26" s="86"/>
    </row>
    <row r="27" spans="2:9" ht="15" customHeight="1">
      <c r="B27" s="80">
        <v>0.94</v>
      </c>
      <c r="C27" s="45">
        <f t="shared" si="0"/>
        <v>2.5662</v>
      </c>
      <c r="D27" s="45">
        <f t="shared" si="1"/>
        <v>8.412999999999998</v>
      </c>
      <c r="E27" s="45">
        <f t="shared" si="1"/>
        <v>8.037</v>
      </c>
      <c r="F27" s="45">
        <f t="shared" si="1"/>
        <v>8.318999999999999</v>
      </c>
      <c r="G27" s="45">
        <f t="shared" si="1"/>
        <v>6.7398</v>
      </c>
      <c r="H27" s="45">
        <f t="shared" si="1"/>
        <v>10.6408</v>
      </c>
      <c r="I27" s="46">
        <f t="shared" si="1"/>
        <v>7.379</v>
      </c>
    </row>
    <row r="28" spans="2:9" ht="15" customHeight="1">
      <c r="B28" s="80">
        <v>0.95</v>
      </c>
      <c r="C28" s="45">
        <f t="shared" si="0"/>
        <v>2.5934999999999997</v>
      </c>
      <c r="D28" s="45">
        <f aca="true" t="shared" si="4" ref="D28:I28">$B28*D$3</f>
        <v>8.5025</v>
      </c>
      <c r="E28" s="45">
        <f t="shared" si="4"/>
        <v>8.1225</v>
      </c>
      <c r="F28" s="45">
        <f t="shared" si="4"/>
        <v>8.407499999999999</v>
      </c>
      <c r="G28" s="45">
        <f t="shared" si="4"/>
        <v>6.8115</v>
      </c>
      <c r="H28" s="45">
        <f t="shared" si="4"/>
        <v>10.754</v>
      </c>
      <c r="I28" s="46">
        <f t="shared" si="4"/>
        <v>7.4575</v>
      </c>
    </row>
    <row r="29" spans="2:9" ht="15" customHeight="1">
      <c r="B29" s="80">
        <v>1</v>
      </c>
      <c r="C29" s="45">
        <f t="shared" si="0"/>
        <v>2.73</v>
      </c>
      <c r="D29" s="45">
        <f t="shared" si="1"/>
        <v>8.95</v>
      </c>
      <c r="E29" s="45">
        <f t="shared" si="1"/>
        <v>8.55</v>
      </c>
      <c r="F29" s="45">
        <f t="shared" si="1"/>
        <v>8.85</v>
      </c>
      <c r="G29" s="45">
        <f t="shared" si="1"/>
        <v>7.17</v>
      </c>
      <c r="H29" s="45">
        <f t="shared" si="1"/>
        <v>11.32</v>
      </c>
      <c r="I29" s="46">
        <f t="shared" si="1"/>
        <v>7.85</v>
      </c>
    </row>
    <row r="30" spans="2:9" ht="15" customHeight="1">
      <c r="B30" s="80">
        <v>1.05</v>
      </c>
      <c r="C30" s="45">
        <f t="shared" si="0"/>
        <v>2.8665000000000003</v>
      </c>
      <c r="D30" s="45">
        <f aca="true" t="shared" si="5" ref="D30:I33">$B30*D$3</f>
        <v>9.397499999999999</v>
      </c>
      <c r="E30" s="45">
        <f t="shared" si="5"/>
        <v>8.977500000000001</v>
      </c>
      <c r="F30" s="45">
        <f t="shared" si="5"/>
        <v>9.2925</v>
      </c>
      <c r="G30" s="45">
        <f t="shared" si="5"/>
        <v>7.5285</v>
      </c>
      <c r="H30" s="45">
        <f t="shared" si="5"/>
        <v>11.886000000000001</v>
      </c>
      <c r="I30" s="46">
        <f t="shared" si="5"/>
        <v>8.2425</v>
      </c>
    </row>
    <row r="31" spans="2:9" ht="15" customHeight="1">
      <c r="B31" s="80">
        <v>1.08</v>
      </c>
      <c r="C31" s="45">
        <f t="shared" si="0"/>
        <v>2.9484000000000004</v>
      </c>
      <c r="D31" s="45">
        <f t="shared" si="5"/>
        <v>9.666</v>
      </c>
      <c r="E31" s="45">
        <f t="shared" si="5"/>
        <v>9.234000000000002</v>
      </c>
      <c r="F31" s="45">
        <f t="shared" si="5"/>
        <v>9.558</v>
      </c>
      <c r="G31" s="45">
        <f t="shared" si="5"/>
        <v>7.743600000000001</v>
      </c>
      <c r="H31" s="45">
        <f t="shared" si="5"/>
        <v>12.225600000000002</v>
      </c>
      <c r="I31" s="46">
        <f t="shared" si="5"/>
        <v>8.478</v>
      </c>
    </row>
    <row r="32" spans="2:9" ht="15" customHeight="1">
      <c r="B32" s="80">
        <v>1.1</v>
      </c>
      <c r="C32" s="45">
        <f t="shared" si="0"/>
        <v>3.003</v>
      </c>
      <c r="D32" s="45">
        <f t="shared" si="5"/>
        <v>9.845</v>
      </c>
      <c r="E32" s="45">
        <f t="shared" si="5"/>
        <v>9.405000000000001</v>
      </c>
      <c r="F32" s="45">
        <f t="shared" si="5"/>
        <v>9.735000000000001</v>
      </c>
      <c r="G32" s="45">
        <f t="shared" si="5"/>
        <v>7.8870000000000005</v>
      </c>
      <c r="H32" s="45">
        <f t="shared" si="5"/>
        <v>12.452000000000002</v>
      </c>
      <c r="I32" s="46">
        <f t="shared" si="5"/>
        <v>8.635</v>
      </c>
    </row>
    <row r="33" spans="2:9" ht="15" customHeight="1">
      <c r="B33" s="80">
        <v>1.15</v>
      </c>
      <c r="C33" s="45">
        <f t="shared" si="0"/>
        <v>3.1395</v>
      </c>
      <c r="D33" s="45">
        <f t="shared" si="5"/>
        <v>10.292499999999999</v>
      </c>
      <c r="E33" s="45">
        <f t="shared" si="5"/>
        <v>9.8325</v>
      </c>
      <c r="F33" s="45">
        <f t="shared" si="5"/>
        <v>10.177499999999998</v>
      </c>
      <c r="G33" s="45">
        <f t="shared" si="5"/>
        <v>8.2455</v>
      </c>
      <c r="H33" s="45">
        <f t="shared" si="5"/>
        <v>13.017999999999999</v>
      </c>
      <c r="I33" s="46">
        <f t="shared" si="5"/>
        <v>9.027499999999998</v>
      </c>
    </row>
    <row r="34" spans="2:9" ht="15" customHeight="1">
      <c r="B34" s="80">
        <v>1.2</v>
      </c>
      <c r="C34" s="45">
        <f t="shared" si="0"/>
        <v>3.276</v>
      </c>
      <c r="D34" s="45">
        <f t="shared" si="1"/>
        <v>10.739999999999998</v>
      </c>
      <c r="E34" s="45">
        <f t="shared" si="1"/>
        <v>10.26</v>
      </c>
      <c r="F34" s="45">
        <f t="shared" si="1"/>
        <v>10.62</v>
      </c>
      <c r="G34" s="45">
        <f t="shared" si="1"/>
        <v>8.604</v>
      </c>
      <c r="H34" s="45">
        <f t="shared" si="1"/>
        <v>13.584</v>
      </c>
      <c r="I34" s="46">
        <f t="shared" si="1"/>
        <v>9.42</v>
      </c>
    </row>
    <row r="35" spans="2:9" ht="15" customHeight="1">
      <c r="B35" s="80">
        <v>1.25</v>
      </c>
      <c r="C35" s="45">
        <f t="shared" si="0"/>
        <v>3.4125</v>
      </c>
      <c r="D35" s="45">
        <f aca="true" t="shared" si="6" ref="D35:I39">$B35*D$3</f>
        <v>11.1875</v>
      </c>
      <c r="E35" s="45">
        <f t="shared" si="6"/>
        <v>10.6875</v>
      </c>
      <c r="F35" s="45">
        <f t="shared" si="6"/>
        <v>11.0625</v>
      </c>
      <c r="G35" s="45">
        <f t="shared" si="6"/>
        <v>8.9625</v>
      </c>
      <c r="H35" s="45">
        <f t="shared" si="6"/>
        <v>14.15</v>
      </c>
      <c r="I35" s="46">
        <f t="shared" si="6"/>
        <v>9.8125</v>
      </c>
    </row>
    <row r="36" spans="2:9" ht="15" customHeight="1">
      <c r="B36" s="80">
        <v>1.3</v>
      </c>
      <c r="C36" s="45">
        <f aca="true" t="shared" si="7" ref="C36:C72">$B36*C$3</f>
        <v>3.549</v>
      </c>
      <c r="D36" s="45">
        <f t="shared" si="6"/>
        <v>11.635</v>
      </c>
      <c r="E36" s="45">
        <f t="shared" si="6"/>
        <v>11.115000000000002</v>
      </c>
      <c r="F36" s="45">
        <f t="shared" si="6"/>
        <v>11.505</v>
      </c>
      <c r="G36" s="45">
        <f t="shared" si="6"/>
        <v>9.321</v>
      </c>
      <c r="H36" s="45">
        <f t="shared" si="6"/>
        <v>14.716000000000001</v>
      </c>
      <c r="I36" s="46">
        <f t="shared" si="6"/>
        <v>10.205</v>
      </c>
    </row>
    <row r="37" spans="2:9" ht="15" customHeight="1">
      <c r="B37" s="80">
        <v>1.35</v>
      </c>
      <c r="C37" s="45">
        <f t="shared" si="7"/>
        <v>3.6855</v>
      </c>
      <c r="D37" s="45">
        <f t="shared" si="6"/>
        <v>12.0825</v>
      </c>
      <c r="E37" s="45">
        <f t="shared" si="6"/>
        <v>11.542500000000002</v>
      </c>
      <c r="F37" s="45">
        <f t="shared" si="6"/>
        <v>11.9475</v>
      </c>
      <c r="G37" s="45">
        <f t="shared" si="6"/>
        <v>9.6795</v>
      </c>
      <c r="H37" s="45">
        <f t="shared" si="6"/>
        <v>15.282000000000002</v>
      </c>
      <c r="I37" s="46">
        <f t="shared" si="6"/>
        <v>10.5975</v>
      </c>
    </row>
    <row r="38" spans="2:9" ht="15" customHeight="1">
      <c r="B38" s="80">
        <v>1.4</v>
      </c>
      <c r="C38" s="45">
        <f t="shared" si="7"/>
        <v>3.8219999999999996</v>
      </c>
      <c r="D38" s="45">
        <f t="shared" si="6"/>
        <v>12.529999999999998</v>
      </c>
      <c r="E38" s="45">
        <f t="shared" si="6"/>
        <v>11.97</v>
      </c>
      <c r="F38" s="45">
        <f t="shared" si="6"/>
        <v>12.389999999999999</v>
      </c>
      <c r="G38" s="45">
        <f t="shared" si="6"/>
        <v>10.037999999999998</v>
      </c>
      <c r="H38" s="45">
        <f t="shared" si="6"/>
        <v>15.847999999999999</v>
      </c>
      <c r="I38" s="46">
        <f t="shared" si="6"/>
        <v>10.989999999999998</v>
      </c>
    </row>
    <row r="39" spans="2:9" ht="15" customHeight="1">
      <c r="B39" s="80">
        <v>1.45</v>
      </c>
      <c r="C39" s="45">
        <f t="shared" si="7"/>
        <v>3.9585</v>
      </c>
      <c r="D39" s="45">
        <f t="shared" si="6"/>
        <v>12.9775</v>
      </c>
      <c r="E39" s="45">
        <f t="shared" si="6"/>
        <v>12.3975</v>
      </c>
      <c r="F39" s="45">
        <f t="shared" si="6"/>
        <v>12.8325</v>
      </c>
      <c r="G39" s="45">
        <f t="shared" si="6"/>
        <v>10.3965</v>
      </c>
      <c r="H39" s="45">
        <f t="shared" si="6"/>
        <v>16.414</v>
      </c>
      <c r="I39" s="46">
        <f t="shared" si="6"/>
        <v>11.382499999999999</v>
      </c>
    </row>
    <row r="40" spans="2:9" ht="15" customHeight="1">
      <c r="B40" s="80">
        <v>1.5</v>
      </c>
      <c r="C40" s="45">
        <f t="shared" si="7"/>
        <v>4.095</v>
      </c>
      <c r="D40" s="45">
        <f t="shared" si="1"/>
        <v>13.424999999999999</v>
      </c>
      <c r="E40" s="45">
        <f t="shared" si="1"/>
        <v>12.825000000000001</v>
      </c>
      <c r="F40" s="45">
        <f t="shared" si="1"/>
        <v>13.274999999999999</v>
      </c>
      <c r="G40" s="45">
        <f t="shared" si="1"/>
        <v>10.754999999999999</v>
      </c>
      <c r="H40" s="45">
        <f t="shared" si="1"/>
        <v>16.98</v>
      </c>
      <c r="I40" s="46">
        <f t="shared" si="1"/>
        <v>11.774999999999999</v>
      </c>
    </row>
    <row r="41" spans="2:9" ht="15" customHeight="1">
      <c r="B41" s="80">
        <v>1.6</v>
      </c>
      <c r="C41" s="45">
        <f t="shared" si="7"/>
        <v>4.368</v>
      </c>
      <c r="D41" s="45">
        <f aca="true" t="shared" si="8" ref="D41:I42">$B41*D$3</f>
        <v>14.32</v>
      </c>
      <c r="E41" s="45">
        <f t="shared" si="8"/>
        <v>13.680000000000001</v>
      </c>
      <c r="F41" s="45">
        <f t="shared" si="8"/>
        <v>14.16</v>
      </c>
      <c r="G41" s="45">
        <f t="shared" si="8"/>
        <v>11.472000000000001</v>
      </c>
      <c r="H41" s="45">
        <f t="shared" si="8"/>
        <v>18.112000000000002</v>
      </c>
      <c r="I41" s="46">
        <f t="shared" si="8"/>
        <v>12.56</v>
      </c>
    </row>
    <row r="42" spans="2:9" ht="15" customHeight="1">
      <c r="B42" s="80">
        <v>1.7</v>
      </c>
      <c r="C42" s="45">
        <f t="shared" si="7"/>
        <v>4.641</v>
      </c>
      <c r="D42" s="45">
        <f t="shared" si="8"/>
        <v>15.214999999999998</v>
      </c>
      <c r="E42" s="45">
        <f t="shared" si="8"/>
        <v>14.535</v>
      </c>
      <c r="F42" s="45">
        <f t="shared" si="8"/>
        <v>15.044999999999998</v>
      </c>
      <c r="G42" s="45">
        <f t="shared" si="8"/>
        <v>12.189</v>
      </c>
      <c r="H42" s="45">
        <f t="shared" si="8"/>
        <v>19.244</v>
      </c>
      <c r="I42" s="46">
        <f t="shared" si="8"/>
        <v>13.344999999999999</v>
      </c>
    </row>
    <row r="43" spans="2:9" ht="15" customHeight="1">
      <c r="B43" s="80">
        <v>1.75</v>
      </c>
      <c r="C43" s="45">
        <f t="shared" si="7"/>
        <v>4.7775</v>
      </c>
      <c r="D43" s="45">
        <f t="shared" si="1"/>
        <v>15.662499999999998</v>
      </c>
      <c r="E43" s="45">
        <f t="shared" si="1"/>
        <v>14.962500000000002</v>
      </c>
      <c r="F43" s="45">
        <f t="shared" si="1"/>
        <v>15.487499999999999</v>
      </c>
      <c r="G43" s="45">
        <f t="shared" si="1"/>
        <v>12.5475</v>
      </c>
      <c r="H43" s="45">
        <f t="shared" si="1"/>
        <v>19.810000000000002</v>
      </c>
      <c r="I43" s="46">
        <f t="shared" si="1"/>
        <v>13.737499999999999</v>
      </c>
    </row>
    <row r="44" spans="2:9" ht="15" customHeight="1">
      <c r="B44" s="80">
        <v>2</v>
      </c>
      <c r="C44" s="45">
        <f t="shared" si="7"/>
        <v>5.46</v>
      </c>
      <c r="D44" s="45">
        <f t="shared" si="1"/>
        <v>17.9</v>
      </c>
      <c r="E44" s="45">
        <f t="shared" si="1"/>
        <v>17.1</v>
      </c>
      <c r="F44" s="45">
        <f t="shared" si="1"/>
        <v>17.7</v>
      </c>
      <c r="G44" s="45">
        <f t="shared" si="1"/>
        <v>14.34</v>
      </c>
      <c r="H44" s="45">
        <f t="shared" si="1"/>
        <v>22.64</v>
      </c>
      <c r="I44" s="46">
        <f t="shared" si="1"/>
        <v>15.7</v>
      </c>
    </row>
    <row r="45" spans="2:9" ht="15" customHeight="1">
      <c r="B45" s="80">
        <v>2.25</v>
      </c>
      <c r="C45" s="45">
        <f t="shared" si="7"/>
        <v>6.1425</v>
      </c>
      <c r="D45" s="45">
        <f t="shared" si="1"/>
        <v>20.1375</v>
      </c>
      <c r="E45" s="45">
        <f t="shared" si="1"/>
        <v>19.2375</v>
      </c>
      <c r="F45" s="45">
        <f t="shared" si="1"/>
        <v>19.912499999999998</v>
      </c>
      <c r="G45" s="45">
        <f t="shared" si="1"/>
        <v>16.1325</v>
      </c>
      <c r="H45" s="45">
        <f t="shared" si="1"/>
        <v>25.47</v>
      </c>
      <c r="I45" s="46">
        <f t="shared" si="1"/>
        <v>17.662499999999998</v>
      </c>
    </row>
    <row r="46" spans="2:9" ht="15" customHeight="1">
      <c r="B46" s="80">
        <v>2.5</v>
      </c>
      <c r="C46" s="45">
        <f t="shared" si="7"/>
        <v>6.825</v>
      </c>
      <c r="D46" s="45">
        <f t="shared" si="1"/>
        <v>22.375</v>
      </c>
      <c r="E46" s="45">
        <f t="shared" si="1"/>
        <v>21.375</v>
      </c>
      <c r="F46" s="45">
        <f t="shared" si="1"/>
        <v>22.125</v>
      </c>
      <c r="G46" s="45">
        <f t="shared" si="1"/>
        <v>17.925</v>
      </c>
      <c r="H46" s="45">
        <f t="shared" si="1"/>
        <v>28.3</v>
      </c>
      <c r="I46" s="46">
        <f t="shared" si="1"/>
        <v>19.625</v>
      </c>
    </row>
    <row r="47" spans="2:9" ht="15" customHeight="1">
      <c r="B47" s="80">
        <v>2.75</v>
      </c>
      <c r="C47" s="45">
        <f t="shared" si="7"/>
        <v>7.5075</v>
      </c>
      <c r="D47" s="45">
        <f t="shared" si="1"/>
        <v>24.612499999999997</v>
      </c>
      <c r="E47" s="45">
        <f t="shared" si="1"/>
        <v>23.512500000000003</v>
      </c>
      <c r="F47" s="45">
        <f t="shared" si="1"/>
        <v>24.3375</v>
      </c>
      <c r="G47" s="45">
        <f t="shared" si="1"/>
        <v>19.7175</v>
      </c>
      <c r="H47" s="45">
        <f t="shared" si="1"/>
        <v>31.130000000000003</v>
      </c>
      <c r="I47" s="46">
        <f t="shared" si="1"/>
        <v>21.5875</v>
      </c>
    </row>
    <row r="48" spans="2:9" ht="15" customHeight="1">
      <c r="B48" s="80">
        <v>3</v>
      </c>
      <c r="C48" s="45">
        <f t="shared" si="7"/>
        <v>8.19</v>
      </c>
      <c r="D48" s="45">
        <f t="shared" si="1"/>
        <v>26.849999999999998</v>
      </c>
      <c r="E48" s="45">
        <f t="shared" si="1"/>
        <v>25.650000000000002</v>
      </c>
      <c r="F48" s="45">
        <f t="shared" si="1"/>
        <v>26.549999999999997</v>
      </c>
      <c r="G48" s="45">
        <f t="shared" si="1"/>
        <v>21.509999999999998</v>
      </c>
      <c r="H48" s="45">
        <f t="shared" si="1"/>
        <v>33.96</v>
      </c>
      <c r="I48" s="46">
        <f t="shared" si="1"/>
        <v>23.549999999999997</v>
      </c>
    </row>
    <row r="49" spans="2:9" ht="15" customHeight="1">
      <c r="B49" s="80">
        <v>3.5</v>
      </c>
      <c r="C49" s="45">
        <f t="shared" si="7"/>
        <v>9.555</v>
      </c>
      <c r="D49" s="45">
        <f t="shared" si="1"/>
        <v>31.324999999999996</v>
      </c>
      <c r="E49" s="45">
        <f t="shared" si="1"/>
        <v>29.925000000000004</v>
      </c>
      <c r="F49" s="45">
        <f t="shared" si="1"/>
        <v>30.974999999999998</v>
      </c>
      <c r="G49" s="45">
        <f t="shared" si="1"/>
        <v>25.095</v>
      </c>
      <c r="H49" s="45">
        <f t="shared" si="1"/>
        <v>39.620000000000005</v>
      </c>
      <c r="I49" s="46">
        <f t="shared" si="1"/>
        <v>27.474999999999998</v>
      </c>
    </row>
    <row r="50" spans="2:9" ht="15" customHeight="1">
      <c r="B50" s="80">
        <v>4</v>
      </c>
      <c r="C50" s="45">
        <f t="shared" si="7"/>
        <v>10.92</v>
      </c>
      <c r="D50" s="45">
        <f t="shared" si="1"/>
        <v>35.8</v>
      </c>
      <c r="E50" s="45">
        <f t="shared" si="1"/>
        <v>34.2</v>
      </c>
      <c r="F50" s="45">
        <f t="shared" si="1"/>
        <v>35.4</v>
      </c>
      <c r="G50" s="45">
        <f t="shared" si="1"/>
        <v>28.68</v>
      </c>
      <c r="H50" s="45">
        <f t="shared" si="1"/>
        <v>45.28</v>
      </c>
      <c r="I50" s="46">
        <f t="shared" si="1"/>
        <v>31.4</v>
      </c>
    </row>
    <row r="51" spans="2:9" ht="15" customHeight="1">
      <c r="B51" s="80">
        <v>4.5</v>
      </c>
      <c r="C51" s="45">
        <f t="shared" si="7"/>
        <v>12.285</v>
      </c>
      <c r="D51" s="45">
        <f t="shared" si="1"/>
        <v>40.275</v>
      </c>
      <c r="E51" s="45">
        <f t="shared" si="1"/>
        <v>38.475</v>
      </c>
      <c r="F51" s="45">
        <f t="shared" si="1"/>
        <v>39.824999999999996</v>
      </c>
      <c r="G51" s="45">
        <f t="shared" si="1"/>
        <v>32.265</v>
      </c>
      <c r="H51" s="45">
        <f t="shared" si="1"/>
        <v>50.94</v>
      </c>
      <c r="I51" s="46">
        <f t="shared" si="1"/>
        <v>35.324999999999996</v>
      </c>
    </row>
    <row r="52" spans="2:9" ht="15" customHeight="1">
      <c r="B52" s="80">
        <v>5</v>
      </c>
      <c r="C52" s="45">
        <f t="shared" si="7"/>
        <v>13.65</v>
      </c>
      <c r="D52" s="45">
        <f t="shared" si="1"/>
        <v>44.75</v>
      </c>
      <c r="E52" s="45">
        <f t="shared" si="1"/>
        <v>42.75</v>
      </c>
      <c r="F52" s="45">
        <f t="shared" si="1"/>
        <v>44.25</v>
      </c>
      <c r="G52" s="45">
        <f t="shared" si="1"/>
        <v>35.85</v>
      </c>
      <c r="H52" s="45">
        <f t="shared" si="1"/>
        <v>56.6</v>
      </c>
      <c r="I52" s="46">
        <f t="shared" si="1"/>
        <v>39.25</v>
      </c>
    </row>
    <row r="53" spans="2:9" ht="15" customHeight="1">
      <c r="B53" s="80">
        <v>6</v>
      </c>
      <c r="C53" s="45">
        <f t="shared" si="7"/>
        <v>16.38</v>
      </c>
      <c r="D53" s="45">
        <f t="shared" si="1"/>
        <v>53.699999999999996</v>
      </c>
      <c r="E53" s="45">
        <f t="shared" si="1"/>
        <v>51.300000000000004</v>
      </c>
      <c r="F53" s="45">
        <f t="shared" si="1"/>
        <v>53.099999999999994</v>
      </c>
      <c r="G53" s="45">
        <f t="shared" si="1"/>
        <v>43.019999999999996</v>
      </c>
      <c r="H53" s="45">
        <f t="shared" si="1"/>
        <v>67.92</v>
      </c>
      <c r="I53" s="46">
        <f t="shared" si="1"/>
        <v>47.099999999999994</v>
      </c>
    </row>
    <row r="54" spans="2:9" ht="15" customHeight="1">
      <c r="B54" s="80">
        <v>7</v>
      </c>
      <c r="C54" s="45">
        <f t="shared" si="7"/>
        <v>19.11</v>
      </c>
      <c r="D54" s="45">
        <f t="shared" si="1"/>
        <v>62.64999999999999</v>
      </c>
      <c r="E54" s="45">
        <f t="shared" si="1"/>
        <v>59.85000000000001</v>
      </c>
      <c r="F54" s="45">
        <f t="shared" si="1"/>
        <v>61.949999999999996</v>
      </c>
      <c r="G54" s="45">
        <f t="shared" si="1"/>
        <v>50.19</v>
      </c>
      <c r="H54" s="45">
        <f t="shared" si="1"/>
        <v>79.24000000000001</v>
      </c>
      <c r="I54" s="46">
        <f t="shared" si="1"/>
        <v>54.949999999999996</v>
      </c>
    </row>
    <row r="55" spans="2:9" ht="15" customHeight="1">
      <c r="B55" s="80">
        <v>8</v>
      </c>
      <c r="C55" s="45">
        <f t="shared" si="7"/>
        <v>21.84</v>
      </c>
      <c r="D55" s="45">
        <f t="shared" si="1"/>
        <v>71.6</v>
      </c>
      <c r="E55" s="45">
        <f t="shared" si="1"/>
        <v>68.4</v>
      </c>
      <c r="F55" s="45">
        <f t="shared" si="1"/>
        <v>70.8</v>
      </c>
      <c r="G55" s="45">
        <f t="shared" si="1"/>
        <v>57.36</v>
      </c>
      <c r="H55" s="45">
        <f t="shared" si="1"/>
        <v>90.56</v>
      </c>
      <c r="I55" s="46">
        <f t="shared" si="1"/>
        <v>62.8</v>
      </c>
    </row>
    <row r="56" spans="2:9" ht="15" customHeight="1">
      <c r="B56" s="80">
        <v>9</v>
      </c>
      <c r="C56" s="45">
        <f t="shared" si="7"/>
        <v>24.57</v>
      </c>
      <c r="D56" s="45">
        <f t="shared" si="1"/>
        <v>80.55</v>
      </c>
      <c r="E56" s="45">
        <f t="shared" si="1"/>
        <v>76.95</v>
      </c>
      <c r="F56" s="45">
        <f t="shared" si="1"/>
        <v>79.64999999999999</v>
      </c>
      <c r="G56" s="45">
        <f t="shared" si="1"/>
        <v>64.53</v>
      </c>
      <c r="H56" s="45">
        <f t="shared" si="1"/>
        <v>101.88</v>
      </c>
      <c r="I56" s="46">
        <f t="shared" si="1"/>
        <v>70.64999999999999</v>
      </c>
    </row>
    <row r="57" spans="2:9" ht="15" customHeight="1">
      <c r="B57" s="80">
        <v>10</v>
      </c>
      <c r="C57" s="45">
        <f t="shared" si="7"/>
        <v>27.3</v>
      </c>
      <c r="D57" s="45">
        <f t="shared" si="1"/>
        <v>89.5</v>
      </c>
      <c r="E57" s="45">
        <f t="shared" si="1"/>
        <v>85.5</v>
      </c>
      <c r="F57" s="45">
        <f t="shared" si="1"/>
        <v>88.5</v>
      </c>
      <c r="G57" s="45">
        <f t="shared" si="1"/>
        <v>71.7</v>
      </c>
      <c r="H57" s="45">
        <f t="shared" si="1"/>
        <v>113.2</v>
      </c>
      <c r="I57" s="46">
        <f t="shared" si="1"/>
        <v>78.5</v>
      </c>
    </row>
    <row r="58" spans="2:9" ht="15" customHeight="1">
      <c r="B58" s="80">
        <v>11</v>
      </c>
      <c r="C58" s="45">
        <f t="shared" si="7"/>
        <v>30.03</v>
      </c>
      <c r="D58" s="45">
        <f t="shared" si="1"/>
        <v>98.44999999999999</v>
      </c>
      <c r="E58" s="45">
        <f t="shared" si="1"/>
        <v>94.05000000000001</v>
      </c>
      <c r="F58" s="45">
        <f t="shared" si="1"/>
        <v>97.35</v>
      </c>
      <c r="G58" s="45">
        <f t="shared" si="1"/>
        <v>78.87</v>
      </c>
      <c r="H58" s="45">
        <f t="shared" si="1"/>
        <v>124.52000000000001</v>
      </c>
      <c r="I58" s="46">
        <f t="shared" si="1"/>
        <v>86.35</v>
      </c>
    </row>
    <row r="59" spans="2:9" ht="15" customHeight="1">
      <c r="B59" s="80">
        <v>12</v>
      </c>
      <c r="C59" s="45">
        <f t="shared" si="7"/>
        <v>32.76</v>
      </c>
      <c r="D59" s="45">
        <f t="shared" si="1"/>
        <v>107.39999999999999</v>
      </c>
      <c r="E59" s="45">
        <f t="shared" si="1"/>
        <v>102.60000000000001</v>
      </c>
      <c r="F59" s="45">
        <f t="shared" si="1"/>
        <v>106.19999999999999</v>
      </c>
      <c r="G59" s="45">
        <f t="shared" si="1"/>
        <v>86.03999999999999</v>
      </c>
      <c r="H59" s="45">
        <f t="shared" si="1"/>
        <v>135.84</v>
      </c>
      <c r="I59" s="46">
        <f t="shared" si="1"/>
        <v>94.19999999999999</v>
      </c>
    </row>
    <row r="60" spans="2:9" ht="15" customHeight="1">
      <c r="B60" s="80">
        <v>13</v>
      </c>
      <c r="C60" s="45">
        <f t="shared" si="7"/>
        <v>35.49</v>
      </c>
      <c r="D60" s="45">
        <f t="shared" si="1"/>
        <v>116.35</v>
      </c>
      <c r="E60" s="45">
        <f t="shared" si="1"/>
        <v>111.15</v>
      </c>
      <c r="F60" s="45">
        <f t="shared" si="1"/>
        <v>115.05</v>
      </c>
      <c r="G60" s="45">
        <f t="shared" si="1"/>
        <v>93.21</v>
      </c>
      <c r="H60" s="45">
        <f t="shared" si="1"/>
        <v>147.16</v>
      </c>
      <c r="I60" s="46">
        <f t="shared" si="1"/>
        <v>102.05</v>
      </c>
    </row>
    <row r="61" spans="2:9" ht="15" customHeight="1">
      <c r="B61" s="80">
        <v>14</v>
      </c>
      <c r="C61" s="45">
        <f t="shared" si="7"/>
        <v>38.22</v>
      </c>
      <c r="D61" s="45">
        <f aca="true" t="shared" si="9" ref="D61:I72">$B61*D$3</f>
        <v>125.29999999999998</v>
      </c>
      <c r="E61" s="45">
        <f t="shared" si="9"/>
        <v>119.70000000000002</v>
      </c>
      <c r="F61" s="45">
        <f t="shared" si="9"/>
        <v>123.89999999999999</v>
      </c>
      <c r="G61" s="45">
        <f t="shared" si="9"/>
        <v>100.38</v>
      </c>
      <c r="H61" s="45">
        <f t="shared" si="9"/>
        <v>158.48000000000002</v>
      </c>
      <c r="I61" s="46">
        <f t="shared" si="9"/>
        <v>109.89999999999999</v>
      </c>
    </row>
    <row r="62" spans="2:9" ht="15" customHeight="1">
      <c r="B62" s="80">
        <v>15</v>
      </c>
      <c r="C62" s="45">
        <f t="shared" si="7"/>
        <v>40.95</v>
      </c>
      <c r="D62" s="45">
        <f t="shared" si="9"/>
        <v>134.25</v>
      </c>
      <c r="E62" s="45">
        <f t="shared" si="9"/>
        <v>128.25</v>
      </c>
      <c r="F62" s="45">
        <f t="shared" si="9"/>
        <v>132.75</v>
      </c>
      <c r="G62" s="45">
        <f t="shared" si="9"/>
        <v>107.55</v>
      </c>
      <c r="H62" s="45">
        <f t="shared" si="9"/>
        <v>169.8</v>
      </c>
      <c r="I62" s="46">
        <f t="shared" si="9"/>
        <v>117.75</v>
      </c>
    </row>
    <row r="63" spans="2:9" ht="15" customHeight="1">
      <c r="B63" s="80">
        <v>16</v>
      </c>
      <c r="C63" s="45">
        <f t="shared" si="7"/>
        <v>43.68</v>
      </c>
      <c r="D63" s="45">
        <f t="shared" si="9"/>
        <v>143.2</v>
      </c>
      <c r="E63" s="45">
        <f t="shared" si="9"/>
        <v>136.8</v>
      </c>
      <c r="F63" s="45">
        <f t="shared" si="9"/>
        <v>141.6</v>
      </c>
      <c r="G63" s="45">
        <f t="shared" si="9"/>
        <v>114.72</v>
      </c>
      <c r="H63" s="45">
        <f t="shared" si="9"/>
        <v>181.12</v>
      </c>
      <c r="I63" s="46">
        <f t="shared" si="9"/>
        <v>125.6</v>
      </c>
    </row>
    <row r="64" spans="2:9" ht="15" customHeight="1">
      <c r="B64" s="80">
        <v>17</v>
      </c>
      <c r="C64" s="45">
        <f t="shared" si="7"/>
        <v>46.41</v>
      </c>
      <c r="D64" s="45">
        <f t="shared" si="9"/>
        <v>152.14999999999998</v>
      </c>
      <c r="E64" s="45">
        <f t="shared" si="9"/>
        <v>145.35000000000002</v>
      </c>
      <c r="F64" s="45">
        <f t="shared" si="9"/>
        <v>150.45</v>
      </c>
      <c r="G64" s="45">
        <f t="shared" si="9"/>
        <v>121.89</v>
      </c>
      <c r="H64" s="45">
        <f t="shared" si="9"/>
        <v>192.44</v>
      </c>
      <c r="I64" s="46">
        <f t="shared" si="9"/>
        <v>133.45</v>
      </c>
    </row>
    <row r="65" spans="2:9" ht="15" customHeight="1">
      <c r="B65" s="80">
        <v>18</v>
      </c>
      <c r="C65" s="45">
        <f t="shared" si="7"/>
        <v>49.14</v>
      </c>
      <c r="D65" s="45">
        <f t="shared" si="9"/>
        <v>161.1</v>
      </c>
      <c r="E65" s="45">
        <f t="shared" si="9"/>
        <v>153.9</v>
      </c>
      <c r="F65" s="45">
        <f t="shared" si="9"/>
        <v>159.29999999999998</v>
      </c>
      <c r="G65" s="45">
        <f t="shared" si="9"/>
        <v>129.06</v>
      </c>
      <c r="H65" s="45">
        <f t="shared" si="9"/>
        <v>203.76</v>
      </c>
      <c r="I65" s="46">
        <f t="shared" si="9"/>
        <v>141.29999999999998</v>
      </c>
    </row>
    <row r="66" spans="2:9" ht="15" customHeight="1">
      <c r="B66" s="80">
        <v>19</v>
      </c>
      <c r="C66" s="45">
        <f t="shared" si="7"/>
        <v>51.87</v>
      </c>
      <c r="D66" s="45">
        <f t="shared" si="9"/>
        <v>170.04999999999998</v>
      </c>
      <c r="E66" s="45">
        <f t="shared" si="9"/>
        <v>162.45000000000002</v>
      </c>
      <c r="F66" s="45">
        <f t="shared" si="9"/>
        <v>168.15</v>
      </c>
      <c r="G66" s="45">
        <f t="shared" si="9"/>
        <v>136.23</v>
      </c>
      <c r="H66" s="45">
        <f t="shared" si="9"/>
        <v>215.08</v>
      </c>
      <c r="I66" s="46">
        <f t="shared" si="9"/>
        <v>149.15</v>
      </c>
    </row>
    <row r="67" spans="2:9" ht="15" customHeight="1">
      <c r="B67" s="80">
        <v>20</v>
      </c>
      <c r="C67" s="45">
        <f t="shared" si="7"/>
        <v>54.6</v>
      </c>
      <c r="D67" s="45">
        <f t="shared" si="9"/>
        <v>179</v>
      </c>
      <c r="E67" s="45">
        <f t="shared" si="9"/>
        <v>171</v>
      </c>
      <c r="F67" s="45">
        <f t="shared" si="9"/>
        <v>177</v>
      </c>
      <c r="G67" s="45">
        <f t="shared" si="9"/>
        <v>143.4</v>
      </c>
      <c r="H67" s="45">
        <f t="shared" si="9"/>
        <v>226.4</v>
      </c>
      <c r="I67" s="46">
        <f t="shared" si="9"/>
        <v>157</v>
      </c>
    </row>
    <row r="68" spans="2:9" ht="15" customHeight="1">
      <c r="B68" s="80">
        <v>21</v>
      </c>
      <c r="C68" s="45">
        <f t="shared" si="7"/>
        <v>57.33</v>
      </c>
      <c r="D68" s="45">
        <f t="shared" si="9"/>
        <v>187.95</v>
      </c>
      <c r="E68" s="45">
        <f t="shared" si="9"/>
        <v>179.55</v>
      </c>
      <c r="F68" s="45">
        <f t="shared" si="9"/>
        <v>185.85</v>
      </c>
      <c r="G68" s="45">
        <f t="shared" si="9"/>
        <v>150.57</v>
      </c>
      <c r="H68" s="45">
        <f t="shared" si="9"/>
        <v>237.72</v>
      </c>
      <c r="I68" s="46">
        <f t="shared" si="9"/>
        <v>164.85</v>
      </c>
    </row>
    <row r="69" spans="2:9" ht="15" customHeight="1">
      <c r="B69" s="80">
        <v>22</v>
      </c>
      <c r="C69" s="45">
        <f t="shared" si="7"/>
        <v>60.06</v>
      </c>
      <c r="D69" s="45">
        <f t="shared" si="9"/>
        <v>196.89999999999998</v>
      </c>
      <c r="E69" s="45">
        <f t="shared" si="9"/>
        <v>188.10000000000002</v>
      </c>
      <c r="F69" s="45">
        <f t="shared" si="9"/>
        <v>194.7</v>
      </c>
      <c r="G69" s="45">
        <f t="shared" si="9"/>
        <v>157.74</v>
      </c>
      <c r="H69" s="45">
        <f t="shared" si="9"/>
        <v>249.04000000000002</v>
      </c>
      <c r="I69" s="46">
        <f t="shared" si="9"/>
        <v>172.7</v>
      </c>
    </row>
    <row r="70" spans="2:9" ht="15" customHeight="1">
      <c r="B70" s="80">
        <v>23</v>
      </c>
      <c r="C70" s="45">
        <f t="shared" si="7"/>
        <v>62.79</v>
      </c>
      <c r="D70" s="45">
        <f t="shared" si="9"/>
        <v>205.85</v>
      </c>
      <c r="E70" s="45">
        <f t="shared" si="9"/>
        <v>196.65</v>
      </c>
      <c r="F70" s="45">
        <f t="shared" si="9"/>
        <v>203.54999999999998</v>
      </c>
      <c r="G70" s="45">
        <f t="shared" si="9"/>
        <v>164.91</v>
      </c>
      <c r="H70" s="45">
        <f t="shared" si="9"/>
        <v>260.36</v>
      </c>
      <c r="I70" s="46">
        <f t="shared" si="9"/>
        <v>180.54999999999998</v>
      </c>
    </row>
    <row r="71" spans="2:9" ht="15" customHeight="1">
      <c r="B71" s="80">
        <v>24</v>
      </c>
      <c r="C71" s="45">
        <f t="shared" si="7"/>
        <v>65.52</v>
      </c>
      <c r="D71" s="45">
        <f t="shared" si="9"/>
        <v>214.79999999999998</v>
      </c>
      <c r="E71" s="45">
        <f t="shared" si="9"/>
        <v>205.20000000000002</v>
      </c>
      <c r="F71" s="45">
        <f t="shared" si="9"/>
        <v>212.39999999999998</v>
      </c>
      <c r="G71" s="45">
        <f t="shared" si="9"/>
        <v>172.07999999999998</v>
      </c>
      <c r="H71" s="45">
        <f t="shared" si="9"/>
        <v>271.68</v>
      </c>
      <c r="I71" s="46">
        <f t="shared" si="9"/>
        <v>188.39999999999998</v>
      </c>
    </row>
    <row r="72" spans="2:9" ht="15" customHeight="1" thickBot="1">
      <c r="B72" s="81">
        <v>25</v>
      </c>
      <c r="C72" s="72">
        <f t="shared" si="7"/>
        <v>68.25</v>
      </c>
      <c r="D72" s="72">
        <f t="shared" si="9"/>
        <v>223.74999999999997</v>
      </c>
      <c r="E72" s="72">
        <f t="shared" si="9"/>
        <v>213.75000000000003</v>
      </c>
      <c r="F72" s="72">
        <f t="shared" si="9"/>
        <v>221.25</v>
      </c>
      <c r="G72" s="72">
        <f t="shared" si="9"/>
        <v>179.25</v>
      </c>
      <c r="H72" s="72">
        <f t="shared" si="9"/>
        <v>283</v>
      </c>
      <c r="I72" s="73">
        <f t="shared" si="9"/>
        <v>196.25</v>
      </c>
    </row>
    <row r="73" ht="15" customHeight="1" thickTop="1"/>
    <row r="74" ht="15" customHeight="1"/>
    <row r="75" ht="15" customHeight="1"/>
    <row r="76" ht="15" customHeight="1"/>
    <row r="77" ht="15" customHeight="1"/>
    <row r="78" ht="15" customHeight="1"/>
  </sheetData>
  <sheetProtection/>
  <mergeCells count="1">
    <mergeCell ref="B1:I1"/>
  </mergeCells>
  <printOptions/>
  <pageMargins left="0.9448818897637796" right="0.35433070866141736" top="0.984251968503937" bottom="0.3937007874015748" header="0.5118110236220472" footer="0.5118110236220472"/>
  <pageSetup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Süleyman ÖZYÜKSEL</dc:creator>
  <cp:keywords/>
  <dc:description/>
  <cp:lastModifiedBy>MRT</cp:lastModifiedBy>
  <cp:lastPrinted>2007-03-25T14:47:54Z</cp:lastPrinted>
  <dcterms:created xsi:type="dcterms:W3CDTF">2007-03-16T14:42:04Z</dcterms:created>
  <dcterms:modified xsi:type="dcterms:W3CDTF">2008-01-20T21:57:40Z</dcterms:modified>
  <cp:category/>
  <cp:version/>
  <cp:contentType/>
  <cp:contentStatus/>
</cp:coreProperties>
</file>